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総務課\料金係\旧料金担当\料金改定\R1年度上下水道料金改定資料\02 HP資料\"/>
    </mc:Choice>
  </mc:AlternateContent>
  <xr:revisionPtr revIDLastSave="0" documentId="13_ncr:1_{F14566E0-846B-46C1-8F81-63A8429E1B64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水道料金計算表" sheetId="5" r:id="rId1"/>
    <sheet name="市納金計算表" sheetId="2" state="hidden" r:id="rId2"/>
    <sheet name="市納金一覧" sheetId="6" state="hidden" r:id="rId3"/>
    <sheet name="date" sheetId="3" state="hidden" r:id="rId4"/>
    <sheet name="Sheet1" sheetId="7" state="hidden" r:id="rId5"/>
  </sheets>
  <externalReferences>
    <externalReference r:id="rId6"/>
  </externalReferences>
  <definedNames>
    <definedName name="_xlnm._FilterDatabase" localSheetId="3" hidden="1">date!$J$2:$M$13</definedName>
    <definedName name="_xlnm.Print_Area" localSheetId="2">市納金一覧!$A$1:$M$41</definedName>
    <definedName name="_xlnm.Print_Area" localSheetId="1">市納金計算表!$A$1:$S$29</definedName>
    <definedName name="_xlnm.Print_Area" localSheetId="0">水道料金計算表!$A$1:$V$121</definedName>
    <definedName name="_xlnm.Print_Titles" localSheetId="0">水道料金計算表!$1:$1</definedName>
    <definedName name="加入金乙">date!$L$4:$M$13</definedName>
    <definedName name="加入金甲" localSheetId="2">[1]date!$I$4:$J$14</definedName>
    <definedName name="加入金甲">date!$J$4:$K$14</definedName>
    <definedName name="口径1" localSheetId="2">[1]date!$A$3:$A$12</definedName>
    <definedName name="口径1">date!$B$3:$B$12</definedName>
    <definedName name="口径2" localSheetId="2">[1]date!$A$16:$A$24</definedName>
    <definedName name="口径2">date!$B$16:$B$24</definedName>
    <definedName name="口径3" localSheetId="2">[1]date!$F$12:$F$13</definedName>
    <definedName name="口径3">date!$G$12:$G$13</definedName>
    <definedName name="口径金額砂利道" localSheetId="2">[1]date!$C$4:$D$12</definedName>
    <definedName name="口径金額砂利道">date!$D$4:$E$12</definedName>
    <definedName name="口径金額舗装道" localSheetId="2">[1]date!$C$16:$D$24</definedName>
    <definedName name="口径金額舗装道">date!$D$16:$E$24</definedName>
    <definedName name="口径変更砂利道" localSheetId="2">[1]date!$F$3:$G$4</definedName>
    <definedName name="口径変更砂利道">date!$G$3:$H$4</definedName>
    <definedName name="口径変更舗装道" localSheetId="2">[1]date!$F$8:$G$9</definedName>
    <definedName name="口径変更舗装道">date!$G$8:$H$9</definedName>
    <definedName name="砂利道">date!$F$29</definedName>
    <definedName name="準備料金" localSheetId="2">[1]date!$I$18:$J$26</definedName>
    <definedName name="準備料金">date!$J$18:$K$26</definedName>
    <definedName name="準備料金2" localSheetId="2">[1]date!$I$32:$J$33</definedName>
    <definedName name="準備料金2">date!$J$32:$K$33</definedName>
    <definedName name="撤去口径" localSheetId="2">[1]date!$A$34:$A$44</definedName>
    <definedName name="撤去口径">date!$B$34:$B$44</definedName>
    <definedName name="道路形態" localSheetId="2">[1]date!$A$29:$A$30</definedName>
    <definedName name="道路形態">date!$B$29:$B$30</definedName>
    <definedName name="舗装道">date!$D$29:$D$30</definedName>
  </definedNames>
  <calcPr calcId="191029"/>
</workbook>
</file>

<file path=xl/calcChain.xml><?xml version="1.0" encoding="utf-8"?>
<calcChain xmlns="http://schemas.openxmlformats.org/spreadsheetml/2006/main">
  <c r="U97" i="5" l="1"/>
  <c r="U69" i="5" l="1"/>
  <c r="U42" i="5"/>
  <c r="U15" i="5"/>
  <c r="G27" i="2" l="1"/>
  <c r="H37" i="3" l="1"/>
  <c r="H36" i="3"/>
  <c r="H35" i="3"/>
  <c r="G18" i="2" s="1"/>
  <c r="G37" i="3"/>
  <c r="E12" i="6" s="1"/>
  <c r="G36" i="3"/>
  <c r="E9" i="6" s="1"/>
  <c r="G35" i="3"/>
  <c r="E6" i="6" s="1"/>
  <c r="G7" i="2" l="1"/>
  <c r="G9" i="2" s="1"/>
  <c r="D18" i="6"/>
  <c r="D17" i="6"/>
  <c r="C18" i="6"/>
  <c r="C17" i="6"/>
  <c r="C4" i="6"/>
  <c r="Q6" i="2"/>
  <c r="Q8" i="2"/>
  <c r="G14" i="2"/>
  <c r="G16" i="2"/>
  <c r="N12" i="2" l="1"/>
  <c r="F20" i="2"/>
  <c r="Q105" i="5"/>
  <c r="Q106" i="5"/>
  <c r="S105" i="5"/>
  <c r="V106" i="5" s="1"/>
  <c r="S104" i="5"/>
  <c r="Q104" i="5"/>
  <c r="S103" i="5"/>
  <c r="Q103" i="5"/>
  <c r="S102" i="5"/>
  <c r="Q102" i="5"/>
  <c r="S101" i="5"/>
  <c r="Q101" i="5"/>
  <c r="S100" i="5"/>
  <c r="Q100" i="5"/>
  <c r="S98" i="5"/>
  <c r="Q98" i="5"/>
  <c r="S99" i="5"/>
  <c r="Q99" i="5"/>
  <c r="Q97" i="5"/>
  <c r="K5" i="5"/>
  <c r="S23" i="5"/>
  <c r="V24" i="5" s="1"/>
  <c r="Q23" i="5"/>
  <c r="Q24" i="5"/>
  <c r="V23" i="5" s="1"/>
  <c r="S21" i="5"/>
  <c r="Q21" i="5"/>
  <c r="Q20" i="5"/>
  <c r="S22" i="5"/>
  <c r="Q22" i="5"/>
  <c r="V22" i="5" s="1"/>
  <c r="Q11" i="5"/>
  <c r="S10" i="5"/>
  <c r="V11" i="5" s="1"/>
  <c r="Q10" i="5"/>
  <c r="S9" i="5"/>
  <c r="Q19" i="5"/>
  <c r="S20" i="5"/>
  <c r="S19" i="5"/>
  <c r="S18" i="5"/>
  <c r="Q18" i="5"/>
  <c r="S17" i="5"/>
  <c r="Q17" i="5"/>
  <c r="S16" i="5"/>
  <c r="Q16" i="5"/>
  <c r="Q15" i="5"/>
  <c r="V15" i="5"/>
  <c r="Q9" i="5"/>
  <c r="S8" i="5"/>
  <c r="Q5" i="5"/>
  <c r="Q6" i="5"/>
  <c r="S6" i="5"/>
  <c r="Q7" i="5"/>
  <c r="S7" i="5"/>
  <c r="Q8" i="5"/>
  <c r="D33" i="6"/>
  <c r="D34" i="6"/>
  <c r="D35" i="6"/>
  <c r="D36" i="6"/>
  <c r="D37" i="6"/>
  <c r="D38" i="6"/>
  <c r="D39" i="6"/>
  <c r="D40" i="6"/>
  <c r="D32" i="6"/>
  <c r="D24" i="6"/>
  <c r="D25" i="6"/>
  <c r="D26" i="6"/>
  <c r="D27" i="6"/>
  <c r="D28" i="6"/>
  <c r="F28" i="6" s="1"/>
  <c r="D29" i="6"/>
  <c r="D30" i="6"/>
  <c r="D31" i="6"/>
  <c r="D23" i="6"/>
  <c r="L4" i="6"/>
  <c r="K4" i="6"/>
  <c r="H8" i="6"/>
  <c r="G8" i="6"/>
  <c r="F8" i="6"/>
  <c r="E11" i="6"/>
  <c r="E8" i="6"/>
  <c r="E5" i="6"/>
  <c r="D5" i="6"/>
  <c r="D6" i="6"/>
  <c r="D7" i="6"/>
  <c r="D8" i="6"/>
  <c r="D9" i="6"/>
  <c r="D10" i="6"/>
  <c r="D11" i="6"/>
  <c r="D12" i="6"/>
  <c r="D4" i="6"/>
  <c r="C5" i="6"/>
  <c r="C6" i="6"/>
  <c r="C7" i="6"/>
  <c r="C8" i="6"/>
  <c r="C9" i="6"/>
  <c r="C10" i="6"/>
  <c r="C11" i="6"/>
  <c r="C12" i="6"/>
  <c r="J100" i="5"/>
  <c r="J72" i="5"/>
  <c r="J45" i="5"/>
  <c r="J90" i="5"/>
  <c r="J63" i="5"/>
  <c r="J36" i="5"/>
  <c r="J18" i="5"/>
  <c r="J9" i="5"/>
  <c r="K59" i="5"/>
  <c r="Q89" i="5"/>
  <c r="V88" i="5" s="1"/>
  <c r="Q88" i="5"/>
  <c r="V89" i="5" s="1"/>
  <c r="K86" i="5"/>
  <c r="Q70" i="5"/>
  <c r="Q69" i="5"/>
  <c r="V70" i="5" s="1"/>
  <c r="V61" i="5"/>
  <c r="K61" i="5" s="1"/>
  <c r="E40" i="5"/>
  <c r="S37" i="5" s="1"/>
  <c r="V38" i="5" s="1"/>
  <c r="V69" i="5"/>
  <c r="Q35" i="5"/>
  <c r="V97" i="5"/>
  <c r="V102" i="5"/>
  <c r="V103" i="5" l="1"/>
  <c r="V99" i="5"/>
  <c r="V98" i="5"/>
  <c r="V105" i="5"/>
  <c r="V18" i="5"/>
  <c r="V16" i="5"/>
  <c r="V17" i="5"/>
  <c r="V10" i="5"/>
  <c r="V20" i="5"/>
  <c r="V100" i="5"/>
  <c r="V104" i="5"/>
  <c r="I31" i="6"/>
  <c r="S46" i="5"/>
  <c r="K32" i="5"/>
  <c r="V101" i="5"/>
  <c r="V5" i="5"/>
  <c r="V8" i="5"/>
  <c r="V9" i="5"/>
  <c r="V6" i="5"/>
  <c r="V19" i="5"/>
  <c r="S45" i="5"/>
  <c r="Q38" i="5"/>
  <c r="S48" i="5"/>
  <c r="Q48" i="5"/>
  <c r="V47" i="5" s="1"/>
  <c r="S43" i="5"/>
  <c r="Q49" i="5"/>
  <c r="Q34" i="5"/>
  <c r="Q50" i="5"/>
  <c r="Q44" i="5"/>
  <c r="S33" i="5"/>
  <c r="Q51" i="5"/>
  <c r="Q46" i="5"/>
  <c r="S49" i="5"/>
  <c r="S34" i="5"/>
  <c r="Q47" i="5"/>
  <c r="S44" i="5"/>
  <c r="Q45" i="5"/>
  <c r="Q33" i="5"/>
  <c r="Q43" i="5"/>
  <c r="Q32" i="5"/>
  <c r="S35" i="5"/>
  <c r="S50" i="5"/>
  <c r="V51" i="5" s="1"/>
  <c r="V42" i="5"/>
  <c r="S47" i="5"/>
  <c r="Q42" i="5"/>
  <c r="Q37" i="5"/>
  <c r="H40" i="6"/>
  <c r="I39" i="6"/>
  <c r="E35" i="6"/>
  <c r="H28" i="6"/>
  <c r="G31" i="6"/>
  <c r="F35" i="6"/>
  <c r="H38" i="6"/>
  <c r="G35" i="6"/>
  <c r="G38" i="6"/>
  <c r="H27" i="6"/>
  <c r="E38" i="6"/>
  <c r="I37" i="6"/>
  <c r="E40" i="6"/>
  <c r="J40" i="6"/>
  <c r="F39" i="6"/>
  <c r="L31" i="6"/>
  <c r="H29" i="6"/>
  <c r="E24" i="6"/>
  <c r="F26" i="6"/>
  <c r="I38" i="6"/>
  <c r="G28" i="6"/>
  <c r="J31" i="6"/>
  <c r="K40" i="6"/>
  <c r="G27" i="6"/>
  <c r="J38" i="6"/>
  <c r="I40" i="6"/>
  <c r="K39" i="6"/>
  <c r="G37" i="6"/>
  <c r="F38" i="6"/>
  <c r="E26" i="6"/>
  <c r="H37" i="6"/>
  <c r="H39" i="6"/>
  <c r="F31" i="6"/>
  <c r="F27" i="6"/>
  <c r="E39" i="6"/>
  <c r="H36" i="6"/>
  <c r="E28" i="6"/>
  <c r="F30" i="6"/>
  <c r="J39" i="6"/>
  <c r="J30" i="6"/>
  <c r="G30" i="6"/>
  <c r="E30" i="6"/>
  <c r="E37" i="6"/>
  <c r="G40" i="6"/>
  <c r="L40" i="6"/>
  <c r="G36" i="6"/>
  <c r="F29" i="6"/>
  <c r="E25" i="6"/>
  <c r="F25" i="6"/>
  <c r="F36" i="6"/>
  <c r="F40" i="6"/>
  <c r="I29" i="6"/>
  <c r="E31" i="6"/>
  <c r="K30" i="6"/>
  <c r="G29" i="6"/>
  <c r="K31" i="6"/>
  <c r="E27" i="6"/>
  <c r="I30" i="6"/>
  <c r="E33" i="6"/>
  <c r="E36" i="6"/>
  <c r="E34" i="6"/>
  <c r="F37" i="6"/>
  <c r="H31" i="6"/>
  <c r="F34" i="6"/>
  <c r="E29" i="6"/>
  <c r="G26" i="6"/>
  <c r="J29" i="6"/>
  <c r="I28" i="6"/>
  <c r="K88" i="5"/>
  <c r="K70" i="5"/>
  <c r="K63" i="5"/>
  <c r="K65" i="5" s="1"/>
  <c r="Q36" i="5"/>
  <c r="H30" i="6"/>
  <c r="G39" i="6"/>
  <c r="S36" i="5"/>
  <c r="V21" i="5"/>
  <c r="V7" i="5"/>
  <c r="K98" i="5" l="1"/>
  <c r="K100" i="5" s="1"/>
  <c r="K102" i="5" s="1"/>
  <c r="K16" i="5"/>
  <c r="K18" i="5" s="1"/>
  <c r="K20" i="5" s="1"/>
  <c r="V49" i="5"/>
  <c r="V32" i="5"/>
  <c r="V48" i="5"/>
  <c r="V44" i="5"/>
  <c r="K7" i="5"/>
  <c r="K9" i="5" s="1"/>
  <c r="K11" i="5" s="1"/>
  <c r="V46" i="5"/>
  <c r="V50" i="5"/>
  <c r="V33" i="5"/>
  <c r="V34" i="5"/>
  <c r="V37" i="5"/>
  <c r="V45" i="5"/>
  <c r="V43" i="5"/>
  <c r="K72" i="5"/>
  <c r="K74" i="5" s="1"/>
  <c r="G77" i="5" s="1"/>
  <c r="V36" i="5"/>
  <c r="V35" i="5"/>
  <c r="K90" i="5"/>
  <c r="K92" i="5" s="1"/>
  <c r="G104" i="5" l="1"/>
  <c r="K43" i="5"/>
  <c r="K45" i="5" s="1"/>
  <c r="K47" i="5" s="1"/>
  <c r="G23" i="5"/>
  <c r="K34" i="5"/>
  <c r="K36" i="5" l="1"/>
  <c r="K38" i="5" s="1"/>
  <c r="G50" i="5" s="1"/>
</calcChain>
</file>

<file path=xl/sharedStrings.xml><?xml version="1.0" encoding="utf-8"?>
<sst xmlns="http://schemas.openxmlformats.org/spreadsheetml/2006/main" count="428" uniqueCount="194">
  <si>
    <t>口径</t>
    <rPh sb="0" eb="2">
      <t>コウケイ</t>
    </rPh>
    <phoneticPr fontId="1"/>
  </si>
  <si>
    <t>砂利道</t>
    <rPh sb="0" eb="2">
      <t>ジャリ</t>
    </rPh>
    <rPh sb="2" eb="3">
      <t>ドウ</t>
    </rPh>
    <phoneticPr fontId="1"/>
  </si>
  <si>
    <t>舗装道</t>
    <rPh sb="0" eb="2">
      <t>ホソウ</t>
    </rPh>
    <rPh sb="2" eb="3">
      <t>ドウ</t>
    </rPh>
    <phoneticPr fontId="1"/>
  </si>
  <si>
    <t>先行分岐</t>
    <rPh sb="0" eb="2">
      <t>センコウ</t>
    </rPh>
    <rPh sb="2" eb="4">
      <t>ブンキ</t>
    </rPh>
    <phoneticPr fontId="1"/>
  </si>
  <si>
    <t>道路形態</t>
    <rPh sb="0" eb="2">
      <t>ドウロ</t>
    </rPh>
    <rPh sb="2" eb="4">
      <t>ケイタイ</t>
    </rPh>
    <phoneticPr fontId="1"/>
  </si>
  <si>
    <t>夜間工事</t>
    <rPh sb="0" eb="2">
      <t>ヤカン</t>
    </rPh>
    <rPh sb="2" eb="4">
      <t>コウジ</t>
    </rPh>
    <phoneticPr fontId="1"/>
  </si>
  <si>
    <t>13mm口変</t>
    <rPh sb="4" eb="5">
      <t>クチ</t>
    </rPh>
    <rPh sb="5" eb="6">
      <t>ヘン</t>
    </rPh>
    <phoneticPr fontId="1"/>
  </si>
  <si>
    <t>あり</t>
  </si>
  <si>
    <t>口径変更（舗装道）</t>
    <rPh sb="0" eb="2">
      <t>コウケイ</t>
    </rPh>
    <rPh sb="2" eb="4">
      <t>ヘンコウ</t>
    </rPh>
    <rPh sb="5" eb="7">
      <t>ホソウ</t>
    </rPh>
    <rPh sb="7" eb="8">
      <t>ドウ</t>
    </rPh>
    <phoneticPr fontId="1"/>
  </si>
  <si>
    <t>口径変更（砂利道）</t>
    <rPh sb="0" eb="2">
      <t>コウケイ</t>
    </rPh>
    <rPh sb="2" eb="4">
      <t>ヘンコウ</t>
    </rPh>
    <rPh sb="5" eb="7">
      <t>ジャリ</t>
    </rPh>
    <rPh sb="7" eb="8">
      <t>ドウ</t>
    </rPh>
    <phoneticPr fontId="1"/>
  </si>
  <si>
    <t>=</t>
    <phoneticPr fontId="1"/>
  </si>
  <si>
    <t>×</t>
    <phoneticPr fontId="1"/>
  </si>
  <si>
    <t>本数</t>
    <rPh sb="0" eb="2">
      <t>ホンスウ</t>
    </rPh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</si>
  <si>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</si>
  <si>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</si>
  <si>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（入力値）</t>
    <rPh sb="1" eb="4">
      <t>ニュウリョクチ</t>
    </rPh>
    <phoneticPr fontId="1"/>
  </si>
  <si>
    <t>（金　　額）</t>
    <rPh sb="1" eb="2">
      <t>キン</t>
    </rPh>
    <rPh sb="4" eb="5">
      <t>ガク</t>
    </rPh>
    <phoneticPr fontId="1"/>
  </si>
  <si>
    <t>（金額）</t>
    <rPh sb="1" eb="3">
      <t>キンガク</t>
    </rPh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</si>
  <si>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</si>
  <si>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</si>
  <si>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</si>
  <si>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</si>
  <si>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b</t>
    <phoneticPr fontId="1"/>
  </si>
  <si>
    <t>口径</t>
    <rPh sb="0" eb="2">
      <t>コウケイ</t>
    </rPh>
    <phoneticPr fontId="2"/>
  </si>
  <si>
    <t>使用月数</t>
    <rPh sb="0" eb="2">
      <t>シヨウ</t>
    </rPh>
    <rPh sb="2" eb="4">
      <t>ツキスウ</t>
    </rPh>
    <phoneticPr fontId="2"/>
  </si>
  <si>
    <t>mm</t>
    <phoneticPr fontId="2"/>
  </si>
  <si>
    <t>ヵ月</t>
    <rPh sb="1" eb="2">
      <t>ゲツ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</si>
  <si>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</si>
  <si>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</si>
  <si>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2"/>
  </si>
  <si>
    <t>装置数</t>
    <rPh sb="0" eb="2">
      <t>ソウチ</t>
    </rPh>
    <rPh sb="2" eb="3">
      <t>スウ</t>
    </rPh>
    <phoneticPr fontId="2"/>
  </si>
  <si>
    <t>子メータ口径</t>
    <rPh sb="0" eb="1">
      <t>コ</t>
    </rPh>
    <rPh sb="4" eb="6">
      <t>コウケイ</t>
    </rPh>
    <phoneticPr fontId="2"/>
  </si>
  <si>
    <t>住戸形態</t>
    <rPh sb="0" eb="1">
      <t>ジュウ</t>
    </rPh>
    <rPh sb="1" eb="2">
      <t>コ</t>
    </rPh>
    <rPh sb="2" eb="4">
      <t>ケイタイ</t>
    </rPh>
    <phoneticPr fontId="2"/>
  </si>
  <si>
    <t>単価</t>
    <rPh sb="0" eb="2">
      <t>タンカ</t>
    </rPh>
    <phoneticPr fontId="1"/>
  </si>
  <si>
    <t>加入金</t>
    <rPh sb="0" eb="2">
      <t>カニュウ</t>
    </rPh>
    <rPh sb="2" eb="3">
      <t>キン</t>
    </rPh>
    <phoneticPr fontId="1"/>
  </si>
  <si>
    <t>撤去）</t>
    <rPh sb="0" eb="2">
      <t>テッキョ</t>
    </rPh>
    <phoneticPr fontId="1"/>
  </si>
  <si>
    <t>新設）</t>
    <rPh sb="0" eb="2">
      <t>シンセツ</t>
    </rPh>
    <phoneticPr fontId="1"/>
  </si>
  <si>
    <t>～</t>
    <phoneticPr fontId="4"/>
  </si>
  <si>
    <t>（入力値）</t>
    <rPh sb="1" eb="4">
      <t>ニュウリョクチ</t>
    </rPh>
    <phoneticPr fontId="2"/>
  </si>
  <si>
    <t>下水道接続</t>
    <rPh sb="0" eb="3">
      <t>ゲスイドウ</t>
    </rPh>
    <rPh sb="3" eb="5">
      <t>セツゾク</t>
    </rPh>
    <phoneticPr fontId="4"/>
  </si>
  <si>
    <t>水道料金</t>
    <rPh sb="0" eb="2">
      <t>スイドウ</t>
    </rPh>
    <rPh sb="2" eb="4">
      <t>リョウキン</t>
    </rPh>
    <phoneticPr fontId="4"/>
  </si>
  <si>
    <t>【一般用】</t>
    <rPh sb="1" eb="3">
      <t>イッパン</t>
    </rPh>
    <rPh sb="3" eb="4">
      <t>ヨウ</t>
    </rPh>
    <phoneticPr fontId="4"/>
  </si>
  <si>
    <t>【集合家事用】</t>
    <rPh sb="1" eb="3">
      <t>シュウゴウ</t>
    </rPh>
    <rPh sb="3" eb="5">
      <t>カジ</t>
    </rPh>
    <rPh sb="5" eb="6">
      <t>ヨウ</t>
    </rPh>
    <phoneticPr fontId="4"/>
  </si>
  <si>
    <r>
      <t>m</t>
    </r>
    <r>
      <rPr>
        <vertAlign val="superscript"/>
        <sz val="11"/>
        <color indexed="12"/>
        <rFont val="ＭＳ Ｐゴシック"/>
        <family val="3"/>
        <charset val="128"/>
      </rPr>
      <t>3</t>
    </r>
    <r>
      <rPr>
        <sz val="11"/>
        <color indexed="12"/>
        <rFont val="ＭＳ Ｐゴシック"/>
        <family val="3"/>
        <charset val="128"/>
      </rPr>
      <t>まで</t>
    </r>
    <phoneticPr fontId="4"/>
  </si>
  <si>
    <r>
      <t>m</t>
    </r>
    <r>
      <rPr>
        <vertAlign val="superscript"/>
        <sz val="11"/>
        <color indexed="12"/>
        <rFont val="ＭＳ Ｐゴシック"/>
        <family val="3"/>
        <charset val="128"/>
      </rPr>
      <t>3</t>
    </r>
    <phoneticPr fontId="4"/>
  </si>
  <si>
    <r>
      <t>m</t>
    </r>
    <r>
      <rPr>
        <vertAlign val="superscript"/>
        <sz val="11"/>
        <color indexed="12"/>
        <rFont val="ＭＳ Ｐゴシック"/>
        <family val="3"/>
        <charset val="128"/>
      </rPr>
      <t>3</t>
    </r>
    <r>
      <rPr>
        <sz val="11"/>
        <color indexed="12"/>
        <rFont val="ＭＳ Ｐゴシック"/>
        <family val="3"/>
        <charset val="128"/>
      </rPr>
      <t>以上</t>
    </r>
    <rPh sb="2" eb="4">
      <t>イジョウ</t>
    </rPh>
    <phoneticPr fontId="4"/>
  </si>
  <si>
    <t>～</t>
    <phoneticPr fontId="4"/>
  </si>
  <si>
    <t>⇒</t>
  </si>
  <si>
    <t>戸</t>
    <rPh sb="0" eb="1">
      <t>コ</t>
    </rPh>
    <phoneticPr fontId="4"/>
  </si>
  <si>
    <r>
      <t>m</t>
    </r>
    <r>
      <rPr>
        <vertAlign val="superscript"/>
        <sz val="11"/>
        <color indexed="12"/>
        <rFont val="ＭＳ Ｐゴシック"/>
        <family val="3"/>
        <charset val="128"/>
      </rPr>
      <t>3</t>
    </r>
    <r>
      <rPr>
        <sz val="11"/>
        <color indexed="12"/>
        <rFont val="ＭＳ Ｐゴシック"/>
        <family val="3"/>
        <charset val="128"/>
      </rPr>
      <t>まで</t>
    </r>
    <phoneticPr fontId="4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</si>
  <si>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2"/>
  </si>
  <si>
    <t>mm</t>
    <phoneticPr fontId="2"/>
  </si>
  <si>
    <t>⇒</t>
    <phoneticPr fontId="4"/>
  </si>
  <si>
    <t>⇒</t>
    <phoneticPr fontId="4"/>
  </si>
  <si>
    <t>～</t>
    <phoneticPr fontId="4"/>
  </si>
  <si>
    <t>～</t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</si>
  <si>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r>
      <rPr>
        <sz val="11"/>
        <color indexed="17"/>
        <rFont val="ＭＳ Ｐゴシック"/>
        <family val="3"/>
        <charset val="128"/>
      </rPr>
      <t>まで</t>
    </r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</si>
  <si>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</si>
  <si>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phoneticPr fontId="4"/>
  </si>
  <si>
    <t>～</t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</si>
  <si>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</si>
  <si>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r>
      <rPr>
        <sz val="11"/>
        <color indexed="17"/>
        <rFont val="ＭＳ Ｐゴシック"/>
        <family val="3"/>
        <charset val="128"/>
      </rPr>
      <t>以上</t>
    </r>
    <rPh sb="2" eb="4">
      <t>イジョウ</t>
    </rPh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</si>
  <si>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phoneticPr fontId="4"/>
  </si>
  <si>
    <r>
      <t>m</t>
    </r>
    <r>
      <rPr>
        <vertAlign val="superscript"/>
        <sz val="11"/>
        <color indexed="17"/>
        <rFont val="ＭＳ Ｐゴシック"/>
        <family val="3"/>
        <charset val="128"/>
      </rPr>
      <t>3</t>
    </r>
    <r>
      <rPr>
        <sz val="11"/>
        <color indexed="17"/>
        <rFont val="ＭＳ Ｐゴシック"/>
        <family val="3"/>
        <charset val="128"/>
      </rPr>
      <t>まで</t>
    </r>
    <phoneticPr fontId="4"/>
  </si>
  <si>
    <t>本復旧軽減</t>
    <rPh sb="0" eb="1">
      <t>ホン</t>
    </rPh>
    <rPh sb="1" eb="3">
      <t>フッキュウ</t>
    </rPh>
    <rPh sb="3" eb="5">
      <t>ケイゲン</t>
    </rPh>
    <phoneticPr fontId="1"/>
  </si>
  <si>
    <t>⇒</t>
    <phoneticPr fontId="1"/>
  </si>
  <si>
    <t>D</t>
    <phoneticPr fontId="1"/>
  </si>
  <si>
    <t>加入金額
（b-a）</t>
    <rPh sb="0" eb="2">
      <t>カニュウ</t>
    </rPh>
    <rPh sb="2" eb="3">
      <t>キン</t>
    </rPh>
    <rPh sb="3" eb="4">
      <t>ガク</t>
    </rPh>
    <phoneticPr fontId="1"/>
  </si>
  <si>
    <t>※</t>
    <phoneticPr fontId="1"/>
  </si>
  <si>
    <t>口径1</t>
    <rPh sb="0" eb="2">
      <t>コウケイ</t>
    </rPh>
    <phoneticPr fontId="1"/>
  </si>
  <si>
    <t>口径2</t>
    <rPh sb="0" eb="2">
      <t>コウケイ</t>
    </rPh>
    <phoneticPr fontId="1"/>
  </si>
  <si>
    <t>使用水量</t>
    <rPh sb="0" eb="2">
      <t>シヨウ</t>
    </rPh>
    <rPh sb="2" eb="4">
      <t>スイリョウ</t>
    </rPh>
    <phoneticPr fontId="2"/>
  </si>
  <si>
    <t>下水道使用料</t>
    <rPh sb="0" eb="3">
      <t>ゲスイドウ</t>
    </rPh>
    <rPh sb="3" eb="5">
      <t>シヨウ</t>
    </rPh>
    <phoneticPr fontId="4"/>
  </si>
  <si>
    <t>下水道使用料</t>
    <rPh sb="0" eb="3">
      <t>ゲスイドウ</t>
    </rPh>
    <rPh sb="3" eb="6">
      <t>シヨウリョウ</t>
    </rPh>
    <phoneticPr fontId="4"/>
  </si>
  <si>
    <t>下水道使用料内訳</t>
    <rPh sb="0" eb="3">
      <t>ゲスイドウ</t>
    </rPh>
    <phoneticPr fontId="2"/>
  </si>
  <si>
    <t>【公衆浴場用】</t>
    <rPh sb="1" eb="3">
      <t>コウシュウ</t>
    </rPh>
    <rPh sb="3" eb="5">
      <t>ヨクジョウ</t>
    </rPh>
    <rPh sb="5" eb="6">
      <t>ヨウ</t>
    </rPh>
    <phoneticPr fontId="4"/>
  </si>
  <si>
    <r>
      <t>m</t>
    </r>
    <r>
      <rPr>
        <vertAlign val="superscript"/>
        <sz val="11"/>
        <color indexed="12"/>
        <rFont val="ＭＳ Ｐゴシック"/>
        <family val="3"/>
        <charset val="128"/>
      </rPr>
      <t>3</t>
    </r>
    <r>
      <rPr>
        <sz val="11"/>
        <color indexed="12"/>
        <rFont val="ＭＳ Ｐゴシック"/>
        <family val="3"/>
        <charset val="128"/>
      </rPr>
      <t>につき</t>
    </r>
    <phoneticPr fontId="4"/>
  </si>
  <si>
    <t>親メータ使用水量</t>
    <rPh sb="0" eb="1">
      <t>オヤ</t>
    </rPh>
    <rPh sb="4" eb="6">
      <t>シヨウ</t>
    </rPh>
    <rPh sb="6" eb="8">
      <t>スイリョウ</t>
    </rPh>
    <phoneticPr fontId="2"/>
  </si>
  <si>
    <t>水量料金内訳</t>
    <rPh sb="0" eb="2">
      <t>スイリョウ</t>
    </rPh>
    <rPh sb="2" eb="4">
      <t>リョウキン</t>
    </rPh>
    <phoneticPr fontId="2"/>
  </si>
  <si>
    <t>【特殊用】</t>
    <rPh sb="1" eb="3">
      <t>トクシュ</t>
    </rPh>
    <rPh sb="3" eb="4">
      <t>ヨウ</t>
    </rPh>
    <phoneticPr fontId="4"/>
  </si>
  <si>
    <t>≪加入金計算表（一般用）≫</t>
    <rPh sb="1" eb="3">
      <t>カニュウ</t>
    </rPh>
    <rPh sb="3" eb="4">
      <t>キン</t>
    </rPh>
    <rPh sb="4" eb="6">
      <t>ケイサン</t>
    </rPh>
    <rPh sb="6" eb="7">
      <t>ヒョウ</t>
    </rPh>
    <rPh sb="8" eb="10">
      <t>イッパン</t>
    </rPh>
    <rPh sb="10" eb="11">
      <t>ヨウ</t>
    </rPh>
    <phoneticPr fontId="1"/>
  </si>
  <si>
    <t>↓</t>
    <phoneticPr fontId="4"/>
  </si>
  <si>
    <t>税込合計(A+B+C)</t>
    <rPh sb="0" eb="2">
      <t>ゼイコミ</t>
    </rPh>
    <rPh sb="2" eb="4">
      <t>ゴウケイ</t>
    </rPh>
    <phoneticPr fontId="2"/>
  </si>
  <si>
    <t>+</t>
    <phoneticPr fontId="4"/>
  </si>
  <si>
    <t>↓</t>
    <phoneticPr fontId="4"/>
  </si>
  <si>
    <t>税込合計(E+F)</t>
    <rPh sb="0" eb="2">
      <t>ゼイコミ</t>
    </rPh>
    <rPh sb="2" eb="4">
      <t>ゴウケイ</t>
    </rPh>
    <phoneticPr fontId="4"/>
  </si>
  <si>
    <t>G</t>
    <phoneticPr fontId="4"/>
  </si>
  <si>
    <t>税込合計(E+F)</t>
    <rPh sb="0" eb="2">
      <t>ゼイコミ</t>
    </rPh>
    <rPh sb="2" eb="4">
      <t>ゴウケイ</t>
    </rPh>
    <phoneticPr fontId="2"/>
  </si>
  <si>
    <t>D</t>
    <phoneticPr fontId="4"/>
  </si>
  <si>
    <t>下水道使用料(E)</t>
    <rPh sb="0" eb="3">
      <t>ゲスイドウ</t>
    </rPh>
    <rPh sb="3" eb="6">
      <t>シヨウリョウ</t>
    </rPh>
    <phoneticPr fontId="4"/>
  </si>
  <si>
    <t>準備料金(A)</t>
    <rPh sb="0" eb="2">
      <t>ジュンビ</t>
    </rPh>
    <rPh sb="2" eb="4">
      <t>リョウキン</t>
    </rPh>
    <phoneticPr fontId="2"/>
  </si>
  <si>
    <t>水量料金(B)</t>
    <rPh sb="0" eb="2">
      <t>スイリョウ</t>
    </rPh>
    <rPh sb="2" eb="4">
      <t>リョウキン</t>
    </rPh>
    <phoneticPr fontId="2"/>
  </si>
  <si>
    <t>下水道使用料(E)</t>
    <rPh sb="0" eb="3">
      <t>ゲスイドウ</t>
    </rPh>
    <rPh sb="3" eb="5">
      <t>シヨウ</t>
    </rPh>
    <rPh sb="5" eb="6">
      <t>リョウ</t>
    </rPh>
    <phoneticPr fontId="4"/>
  </si>
  <si>
    <t>+</t>
    <phoneticPr fontId="4"/>
  </si>
  <si>
    <t>上下水道料金合計(D+G)</t>
    <rPh sb="0" eb="2">
      <t>ジョウゲ</t>
    </rPh>
    <rPh sb="2" eb="4">
      <t>スイドウ</t>
    </rPh>
    <rPh sb="4" eb="6">
      <t>リョウキン</t>
    </rPh>
    <rPh sb="6" eb="8">
      <t>ゴウケイ</t>
    </rPh>
    <phoneticPr fontId="2"/>
  </si>
  <si>
    <t>上下水道料金合計(D+G)</t>
    <rPh sb="0" eb="2">
      <t>ジョウゲ</t>
    </rPh>
    <rPh sb="2" eb="4">
      <t>スイドウ</t>
    </rPh>
    <rPh sb="4" eb="6">
      <t>リョウキン</t>
    </rPh>
    <rPh sb="6" eb="8">
      <t>ゴウケイ</t>
    </rPh>
    <phoneticPr fontId="4"/>
  </si>
  <si>
    <t>口径3</t>
    <rPh sb="0" eb="2">
      <t>コウケイ</t>
    </rPh>
    <phoneticPr fontId="1"/>
  </si>
  <si>
    <t>40以下</t>
    <rPh sb="2" eb="4">
      <t>イカ</t>
    </rPh>
    <phoneticPr fontId="1"/>
  </si>
  <si>
    <t>50以上</t>
    <rPh sb="2" eb="4">
      <t>イジョウ</t>
    </rPh>
    <phoneticPr fontId="1"/>
  </si>
  <si>
    <t>準備料金1</t>
    <rPh sb="0" eb="2">
      <t>ジュンビ</t>
    </rPh>
    <rPh sb="2" eb="4">
      <t>リョウキン</t>
    </rPh>
    <phoneticPr fontId="1"/>
  </si>
  <si>
    <t>準備料金2</t>
    <rPh sb="0" eb="2">
      <t>ジュンビ</t>
    </rPh>
    <rPh sb="2" eb="4">
      <t>リョウキン</t>
    </rPh>
    <phoneticPr fontId="1"/>
  </si>
  <si>
    <t xml:space="preserve"> ≪料金計算表≫</t>
    <rPh sb="2" eb="4">
      <t>リョウキン</t>
    </rPh>
    <rPh sb="4" eb="6">
      <t>ケイサン</t>
    </rPh>
    <rPh sb="6" eb="7">
      <t>ヒョウ</t>
    </rPh>
    <phoneticPr fontId="4"/>
  </si>
  <si>
    <t>※</t>
    <phoneticPr fontId="1"/>
  </si>
  <si>
    <t>ファミリー</t>
  </si>
  <si>
    <t>※　ワンルームは７戸以上からが集合家事対象。</t>
    <rPh sb="9" eb="10">
      <t>コ</t>
    </rPh>
    <rPh sb="10" eb="12">
      <t>イジョウ</t>
    </rPh>
    <rPh sb="15" eb="17">
      <t>シュウゴウ</t>
    </rPh>
    <rPh sb="17" eb="19">
      <t>カジ</t>
    </rPh>
    <rPh sb="19" eb="21">
      <t>タイショウ</t>
    </rPh>
    <phoneticPr fontId="4"/>
  </si>
  <si>
    <t>消費税</t>
    <rPh sb="0" eb="3">
      <t>ショウヒゼイ</t>
    </rPh>
    <phoneticPr fontId="1"/>
  </si>
  <si>
    <t>分岐口径</t>
    <rPh sb="0" eb="2">
      <t>ブンキ</t>
    </rPh>
    <rPh sb="2" eb="4">
      <t>コウケイ</t>
    </rPh>
    <phoneticPr fontId="1"/>
  </si>
  <si>
    <t>100以上</t>
    <rPh sb="3" eb="5">
      <t>イジョウ</t>
    </rPh>
    <phoneticPr fontId="1"/>
  </si>
  <si>
    <t>検査手数料</t>
    <rPh sb="0" eb="2">
      <t>ケンサ</t>
    </rPh>
    <rPh sb="2" eb="5">
      <t>テスウリョウ</t>
    </rPh>
    <phoneticPr fontId="1"/>
  </si>
  <si>
    <t>新設・建て替え</t>
    <rPh sb="0" eb="2">
      <t>シンセツ</t>
    </rPh>
    <rPh sb="3" eb="4">
      <t>タ</t>
    </rPh>
    <rPh sb="5" eb="6">
      <t>カ</t>
    </rPh>
    <phoneticPr fontId="1"/>
  </si>
  <si>
    <t>増設・先行分岐</t>
    <rPh sb="0" eb="2">
      <t>ゾウセツ</t>
    </rPh>
    <rPh sb="3" eb="5">
      <t>センコウ</t>
    </rPh>
    <rPh sb="5" eb="7">
      <t>ブンキ</t>
    </rPh>
    <phoneticPr fontId="1"/>
  </si>
  <si>
    <t>撤去口径</t>
    <rPh sb="0" eb="2">
      <t>テッキョ</t>
    </rPh>
    <rPh sb="2" eb="4">
      <t>コウケイ</t>
    </rPh>
    <phoneticPr fontId="1"/>
  </si>
  <si>
    <t>給水装置工事又は私・共有管布設工事</t>
    <rPh sb="0" eb="2">
      <t>キュウスイ</t>
    </rPh>
    <rPh sb="2" eb="4">
      <t>ソウチ</t>
    </rPh>
    <rPh sb="4" eb="6">
      <t>コウジ</t>
    </rPh>
    <rPh sb="6" eb="7">
      <t>マタ</t>
    </rPh>
    <rPh sb="8" eb="9">
      <t>ワタクシ</t>
    </rPh>
    <rPh sb="10" eb="12">
      <t>キョウユウ</t>
    </rPh>
    <rPh sb="12" eb="13">
      <t>カン</t>
    </rPh>
    <rPh sb="13" eb="15">
      <t>フセツ</t>
    </rPh>
    <rPh sb="15" eb="17">
      <t>コウジ</t>
    </rPh>
    <phoneticPr fontId="1"/>
  </si>
  <si>
    <t>新設、全改造</t>
    <rPh sb="0" eb="2">
      <t>シンセツ</t>
    </rPh>
    <rPh sb="3" eb="4">
      <t>ゼン</t>
    </rPh>
    <rPh sb="4" eb="6">
      <t>カイゾウ</t>
    </rPh>
    <phoneticPr fontId="1"/>
  </si>
  <si>
    <t>増設その他</t>
    <rPh sb="0" eb="2">
      <t>ゾウセツ</t>
    </rPh>
    <rPh sb="4" eb="5">
      <t>タ</t>
    </rPh>
    <phoneticPr fontId="1"/>
  </si>
  <si>
    <t>全ての口径</t>
    <rPh sb="0" eb="1">
      <t>スベ</t>
    </rPh>
    <rPh sb="3" eb="5">
      <t>コウケイ</t>
    </rPh>
    <phoneticPr fontId="1"/>
  </si>
  <si>
    <t>9,600円</t>
    <rPh sb="5" eb="6">
      <t>エン</t>
    </rPh>
    <phoneticPr fontId="1"/>
  </si>
  <si>
    <t>2,600円</t>
    <rPh sb="5" eb="6">
      <t>エン</t>
    </rPh>
    <phoneticPr fontId="1"/>
  </si>
  <si>
    <t>（適用）</t>
    <rPh sb="1" eb="3">
      <t>テキヨウ</t>
    </rPh>
    <phoneticPr fontId="1"/>
  </si>
  <si>
    <t>⑶　再検査を必要とする場合については、再度、同額の手数料を徴収する。</t>
    <rPh sb="2" eb="5">
      <t>サイケンサ</t>
    </rPh>
    <rPh sb="6" eb="8">
      <t>ヒツヨウ</t>
    </rPh>
    <rPh sb="11" eb="13">
      <t>バアイ</t>
    </rPh>
    <rPh sb="19" eb="21">
      <t>サイド</t>
    </rPh>
    <rPh sb="22" eb="24">
      <t>ドウガク</t>
    </rPh>
    <rPh sb="25" eb="28">
      <t>テスウリョウ</t>
    </rPh>
    <rPh sb="29" eb="31">
      <t>チョウシュウ</t>
    </rPh>
    <phoneticPr fontId="1"/>
  </si>
  <si>
    <t>　　工事検査手数料</t>
    <phoneticPr fontId="1"/>
  </si>
  <si>
    <t>給水管の
呼 び 径</t>
    <rPh sb="0" eb="2">
      <t>キュウスイ</t>
    </rPh>
    <rPh sb="2" eb="3">
      <t>カン</t>
    </rPh>
    <rPh sb="5" eb="6">
      <t>ヨ</t>
    </rPh>
    <rPh sb="9" eb="10">
      <t>ケイ</t>
    </rPh>
    <phoneticPr fontId="1"/>
  </si>
  <si>
    <t>口径変更の場合、既設管の加入金を充当できるが、新設管の
加入金を上回った額の還付は行わない。</t>
    <rPh sb="32" eb="34">
      <t>ウワマワ</t>
    </rPh>
    <rPh sb="36" eb="37">
      <t>ガク</t>
    </rPh>
    <phoneticPr fontId="1"/>
  </si>
  <si>
    <t>分岐プール額及び加入金については消費税を含んだ額であり、
工事検査手数料については非課税です。</t>
    <rPh sb="0" eb="2">
      <t>ブンキ</t>
    </rPh>
    <rPh sb="5" eb="6">
      <t>ガク</t>
    </rPh>
    <rPh sb="6" eb="7">
      <t>オヨ</t>
    </rPh>
    <rPh sb="8" eb="10">
      <t>カニュウ</t>
    </rPh>
    <rPh sb="10" eb="11">
      <t>キン</t>
    </rPh>
    <rPh sb="16" eb="19">
      <t>ショウヒゼイ</t>
    </rPh>
    <rPh sb="20" eb="21">
      <t>フク</t>
    </rPh>
    <rPh sb="23" eb="24">
      <t>ガク</t>
    </rPh>
    <rPh sb="29" eb="31">
      <t>コウジ</t>
    </rPh>
    <rPh sb="31" eb="33">
      <t>ケンサ</t>
    </rPh>
    <rPh sb="33" eb="36">
      <t>テスウリョウ</t>
    </rPh>
    <rPh sb="41" eb="44">
      <t>ヒカゼイ</t>
    </rPh>
    <phoneticPr fontId="1"/>
  </si>
  <si>
    <t>分岐プール額及び加入金の他に、工事検査手数料が必要です。
（下記参照）</t>
    <rPh sb="0" eb="2">
      <t>ブンキ</t>
    </rPh>
    <rPh sb="5" eb="6">
      <t>ガク</t>
    </rPh>
    <rPh sb="6" eb="7">
      <t>オヨ</t>
    </rPh>
    <rPh sb="8" eb="10">
      <t>カニュウ</t>
    </rPh>
    <rPh sb="10" eb="11">
      <t>キン</t>
    </rPh>
    <rPh sb="12" eb="13">
      <t>ホカ</t>
    </rPh>
    <rPh sb="15" eb="17">
      <t>コウジ</t>
    </rPh>
    <rPh sb="17" eb="19">
      <t>ケンサ</t>
    </rPh>
    <rPh sb="19" eb="21">
      <t>テスウ</t>
    </rPh>
    <rPh sb="21" eb="22">
      <t>リョウ</t>
    </rPh>
    <rPh sb="23" eb="25">
      <t>ヒツヨウ</t>
    </rPh>
    <rPh sb="30" eb="32">
      <t>カキ</t>
    </rPh>
    <rPh sb="32" eb="34">
      <t>サンショウ</t>
    </rPh>
    <phoneticPr fontId="1"/>
  </si>
  <si>
    <t>⑴　給水装置工事の中で、内部工事を伴わない先行分岐等の
     工事検査手数料は、増設の基準を適用する。</t>
    <rPh sb="2" eb="4">
      <t>キュウスイ</t>
    </rPh>
    <rPh sb="4" eb="6">
      <t>ソウチ</t>
    </rPh>
    <rPh sb="6" eb="8">
      <t>コウジ</t>
    </rPh>
    <rPh sb="9" eb="10">
      <t>ナカ</t>
    </rPh>
    <rPh sb="12" eb="14">
      <t>ナイブ</t>
    </rPh>
    <rPh sb="14" eb="16">
      <t>コウジ</t>
    </rPh>
    <rPh sb="17" eb="18">
      <t>トモナ</t>
    </rPh>
    <rPh sb="21" eb="25">
      <t>センコウブンキ</t>
    </rPh>
    <rPh sb="25" eb="26">
      <t>トウ</t>
    </rPh>
    <rPh sb="33" eb="35">
      <t>コウジ</t>
    </rPh>
    <rPh sb="35" eb="37">
      <t>ケンサ</t>
    </rPh>
    <rPh sb="37" eb="40">
      <t>テスウリョウ</t>
    </rPh>
    <rPh sb="42" eb="44">
      <t>ゾウセツ</t>
    </rPh>
    <rPh sb="45" eb="47">
      <t>キジュン</t>
    </rPh>
    <rPh sb="48" eb="50">
      <t>テキヨウ</t>
    </rPh>
    <phoneticPr fontId="1"/>
  </si>
  <si>
    <t>⑵　本表の工事検査手数料は、１件１工事２ｍ未満の私、共有
     管及び修繕等の工事には適用しない。</t>
    <rPh sb="2" eb="3">
      <t>ホン</t>
    </rPh>
    <rPh sb="3" eb="4">
      <t>ヒョウ</t>
    </rPh>
    <rPh sb="5" eb="7">
      <t>コウジ</t>
    </rPh>
    <rPh sb="7" eb="9">
      <t>ケンサ</t>
    </rPh>
    <rPh sb="9" eb="12">
      <t>テスウリョウ</t>
    </rPh>
    <rPh sb="15" eb="16">
      <t>ケン</t>
    </rPh>
    <rPh sb="17" eb="19">
      <t>コウジ</t>
    </rPh>
    <rPh sb="21" eb="23">
      <t>ミマン</t>
    </rPh>
    <rPh sb="24" eb="25">
      <t>ワタクシ</t>
    </rPh>
    <rPh sb="26" eb="28">
      <t>キョウユウ</t>
    </rPh>
    <rPh sb="34" eb="35">
      <t>カン</t>
    </rPh>
    <rPh sb="35" eb="36">
      <t>オヨ</t>
    </rPh>
    <rPh sb="37" eb="39">
      <t>シュウゼン</t>
    </rPh>
    <rPh sb="39" eb="40">
      <t>トウ</t>
    </rPh>
    <rPh sb="41" eb="43">
      <t>コウジ</t>
    </rPh>
    <rPh sb="45" eb="47">
      <t>テキヨウ</t>
    </rPh>
    <phoneticPr fontId="1"/>
  </si>
  <si>
    <t>⑶　再検査を必要とする場合については、再度、同額の手数料
     を徴収する。</t>
    <phoneticPr fontId="1"/>
  </si>
  <si>
    <t>基本額</t>
    <rPh sb="0" eb="2">
      <t>キホン</t>
    </rPh>
    <rPh sb="2" eb="3">
      <t>ガク</t>
    </rPh>
    <phoneticPr fontId="1"/>
  </si>
  <si>
    <t>13mmからの口径変更</t>
    <rPh sb="7" eb="9">
      <t>コウケイ</t>
    </rPh>
    <rPh sb="9" eb="11">
      <t>ヘンコウ</t>
    </rPh>
    <phoneticPr fontId="1"/>
  </si>
  <si>
    <t>給水管の呼び径</t>
    <rPh sb="0" eb="2">
      <t>キュウスイ</t>
    </rPh>
    <rPh sb="2" eb="3">
      <t>カン</t>
    </rPh>
    <rPh sb="4" eb="5">
      <t>ヨ</t>
    </rPh>
    <rPh sb="6" eb="7">
      <t>ケイ</t>
    </rPh>
    <phoneticPr fontId="1"/>
  </si>
  <si>
    <t>13mm</t>
    <phoneticPr fontId="1"/>
  </si>
  <si>
    <t>13mm</t>
    <phoneticPr fontId="1"/>
  </si>
  <si>
    <t>20mm</t>
    <phoneticPr fontId="1"/>
  </si>
  <si>
    <t>20mm</t>
    <phoneticPr fontId="1"/>
  </si>
  <si>
    <t>25mm</t>
    <phoneticPr fontId="1"/>
  </si>
  <si>
    <t>25mm</t>
    <phoneticPr fontId="1"/>
  </si>
  <si>
    <t>⑴　給水装置工事の中で、内部工事を伴わない先行分岐等の工事検査手数料は、増設の基準を適用する。</t>
    <rPh sb="2" eb="4">
      <t>キュウスイ</t>
    </rPh>
    <rPh sb="4" eb="6">
      <t>ソウチ</t>
    </rPh>
    <rPh sb="6" eb="8">
      <t>コウジ</t>
    </rPh>
    <rPh sb="9" eb="10">
      <t>ナカ</t>
    </rPh>
    <rPh sb="12" eb="14">
      <t>ナイブ</t>
    </rPh>
    <rPh sb="14" eb="16">
      <t>コウジ</t>
    </rPh>
    <rPh sb="17" eb="18">
      <t>トモナ</t>
    </rPh>
    <rPh sb="21" eb="25">
      <t>センコウブンキ</t>
    </rPh>
    <rPh sb="25" eb="26">
      <t>トウ</t>
    </rPh>
    <rPh sb="27" eb="29">
      <t>コウジ</t>
    </rPh>
    <rPh sb="29" eb="31">
      <t>ケンサ</t>
    </rPh>
    <rPh sb="31" eb="34">
      <t>テスウリョウ</t>
    </rPh>
    <rPh sb="36" eb="38">
      <t>ゾウセツ</t>
    </rPh>
    <rPh sb="39" eb="41">
      <t>キジュン</t>
    </rPh>
    <rPh sb="42" eb="44">
      <t>テキヨウ</t>
    </rPh>
    <phoneticPr fontId="1"/>
  </si>
  <si>
    <t>40mm</t>
    <phoneticPr fontId="1"/>
  </si>
  <si>
    <t>40mm</t>
    <phoneticPr fontId="1"/>
  </si>
  <si>
    <t>50mm</t>
    <phoneticPr fontId="1"/>
  </si>
  <si>
    <t>50mm</t>
    <phoneticPr fontId="1"/>
  </si>
  <si>
    <t>⑵　本表の工事検査手数料は、１件１工事２ｍ未満の私、共有管及び修繕等の工事には適用しない。</t>
    <rPh sb="2" eb="3">
      <t>ホン</t>
    </rPh>
    <rPh sb="3" eb="4">
      <t>ヒョウ</t>
    </rPh>
    <rPh sb="5" eb="7">
      <t>コウジ</t>
    </rPh>
    <rPh sb="7" eb="9">
      <t>ケンサ</t>
    </rPh>
    <rPh sb="9" eb="12">
      <t>テスウリョウ</t>
    </rPh>
    <rPh sb="15" eb="16">
      <t>ケン</t>
    </rPh>
    <rPh sb="17" eb="19">
      <t>コウジ</t>
    </rPh>
    <rPh sb="21" eb="23">
      <t>ミマン</t>
    </rPh>
    <rPh sb="24" eb="25">
      <t>ワタクシ</t>
    </rPh>
    <rPh sb="26" eb="28">
      <t>キョウユウ</t>
    </rPh>
    <rPh sb="28" eb="29">
      <t>カン</t>
    </rPh>
    <rPh sb="29" eb="30">
      <t>オヨ</t>
    </rPh>
    <rPh sb="31" eb="34">
      <t>シュウゼントウ</t>
    </rPh>
    <rPh sb="35" eb="37">
      <t>コウジ</t>
    </rPh>
    <rPh sb="39" eb="41">
      <t>テキヨウ</t>
    </rPh>
    <phoneticPr fontId="1"/>
  </si>
  <si>
    <t>75mm</t>
    <phoneticPr fontId="1"/>
  </si>
  <si>
    <t>75mm</t>
    <phoneticPr fontId="1"/>
  </si>
  <si>
    <t>100mm</t>
    <phoneticPr fontId="1"/>
  </si>
  <si>
    <t>100mm</t>
    <phoneticPr fontId="1"/>
  </si>
  <si>
    <t>150mm</t>
    <phoneticPr fontId="1"/>
  </si>
  <si>
    <t>150mm</t>
    <phoneticPr fontId="1"/>
  </si>
  <si>
    <t>200mm</t>
    <phoneticPr fontId="1"/>
  </si>
  <si>
    <t>200mm</t>
    <phoneticPr fontId="1"/>
  </si>
  <si>
    <t>（加入金）（消費税を含む）</t>
    <rPh sb="1" eb="3">
      <t>カニュウ</t>
    </rPh>
    <rPh sb="3" eb="4">
      <t>キン</t>
    </rPh>
    <phoneticPr fontId="1"/>
  </si>
  <si>
    <t>一般（甲新設）</t>
    <rPh sb="0" eb="2">
      <t>イッパン</t>
    </rPh>
    <rPh sb="3" eb="4">
      <t>コウ</t>
    </rPh>
    <rPh sb="4" eb="6">
      <t>シンセツ</t>
    </rPh>
    <phoneticPr fontId="1"/>
  </si>
  <si>
    <t>元口径</t>
    <rPh sb="0" eb="1">
      <t>モト</t>
    </rPh>
    <rPh sb="1" eb="3">
      <t>コウケイ</t>
    </rPh>
    <phoneticPr fontId="1"/>
  </si>
  <si>
    <t>生産用（乙新設）</t>
    <phoneticPr fontId="1"/>
  </si>
  <si>
    <t>　　工事検査手数料　（非課税）</t>
    <phoneticPr fontId="1"/>
  </si>
  <si>
    <r>
      <t>m</t>
    </r>
    <r>
      <rPr>
        <vertAlign val="superscript"/>
        <sz val="11"/>
        <color indexed="12"/>
        <rFont val="ＭＳ Ｐゴシック"/>
        <family val="3"/>
        <charset val="128"/>
      </rPr>
      <t>3</t>
    </r>
    <r>
      <rPr>
        <sz val="11"/>
        <color indexed="12"/>
        <rFont val="ＭＳ Ｐゴシック"/>
        <family val="3"/>
        <charset val="128"/>
      </rPr>
      <t>以上</t>
    </r>
    <rPh sb="2" eb="4">
      <t>イジョウ</t>
    </rPh>
    <phoneticPr fontId="4"/>
  </si>
  <si>
    <t>～</t>
    <phoneticPr fontId="1"/>
  </si>
  <si>
    <t>単価（昼間）</t>
    <rPh sb="0" eb="2">
      <t>タンカ</t>
    </rPh>
    <rPh sb="3" eb="5">
      <t>ヒルマ</t>
    </rPh>
    <phoneticPr fontId="1"/>
  </si>
  <si>
    <t>単価（夜間）</t>
    <rPh sb="0" eb="2">
      <t>タンカ</t>
    </rPh>
    <rPh sb="3" eb="5">
      <t>ヤカン</t>
    </rPh>
    <phoneticPr fontId="1"/>
  </si>
  <si>
    <t>なし</t>
  </si>
  <si>
    <t>※　夜間工事を要する分岐プール額は35％増し（夜間工事での舗装本復旧軽減額も35％増し）</t>
    <rPh sb="2" eb="4">
      <t>ヤカン</t>
    </rPh>
    <rPh sb="4" eb="6">
      <t>コウジ</t>
    </rPh>
    <rPh sb="7" eb="8">
      <t>ヨウ</t>
    </rPh>
    <rPh sb="10" eb="12">
      <t>ブンキ</t>
    </rPh>
    <rPh sb="15" eb="16">
      <t>ガク</t>
    </rPh>
    <rPh sb="20" eb="21">
      <t>マ</t>
    </rPh>
    <rPh sb="23" eb="25">
      <t>ヤカン</t>
    </rPh>
    <rPh sb="25" eb="27">
      <t>コウジ</t>
    </rPh>
    <rPh sb="29" eb="31">
      <t>ホソウ</t>
    </rPh>
    <rPh sb="31" eb="32">
      <t>ホン</t>
    </rPh>
    <rPh sb="32" eb="34">
      <t>フッキュウ</t>
    </rPh>
    <rPh sb="34" eb="36">
      <t>ケイゲン</t>
    </rPh>
    <rPh sb="36" eb="37">
      <t>ガク</t>
    </rPh>
    <phoneticPr fontId="1"/>
  </si>
  <si>
    <t>新設分分岐プール額</t>
    <rPh sb="0" eb="2">
      <t>シンセツ</t>
    </rPh>
    <rPh sb="2" eb="3">
      <t>ブン</t>
    </rPh>
    <rPh sb="3" eb="5">
      <t>ブンキ</t>
    </rPh>
    <rPh sb="8" eb="9">
      <t>ガク</t>
    </rPh>
    <phoneticPr fontId="1"/>
  </si>
  <si>
    <t>なし</t>
    <phoneticPr fontId="1"/>
  </si>
  <si>
    <t>あり</t>
    <phoneticPr fontId="1"/>
  </si>
  <si>
    <t>なし</t>
    <phoneticPr fontId="1"/>
  </si>
  <si>
    <t>あり</t>
    <phoneticPr fontId="1"/>
  </si>
  <si>
    <t>あり</t>
    <phoneticPr fontId="1"/>
  </si>
  <si>
    <t>なし</t>
    <phoneticPr fontId="1"/>
  </si>
  <si>
    <t>13～25</t>
    <phoneticPr fontId="1"/>
  </si>
  <si>
    <t>40～75</t>
    <phoneticPr fontId="1"/>
  </si>
  <si>
    <t>撤去分分岐プール額（全口径同一）</t>
    <rPh sb="0" eb="2">
      <t>テッキョ</t>
    </rPh>
    <rPh sb="2" eb="3">
      <t>ブン</t>
    </rPh>
    <rPh sb="3" eb="5">
      <t>ブンキ</t>
    </rPh>
    <rPh sb="8" eb="9">
      <t>ガク</t>
    </rPh>
    <rPh sb="10" eb="11">
      <t>ゼン</t>
    </rPh>
    <rPh sb="11" eb="13">
      <t>コウケイ</t>
    </rPh>
    <rPh sb="13" eb="15">
      <t>ドウイツ</t>
    </rPh>
    <phoneticPr fontId="1"/>
  </si>
  <si>
    <t>昼/夜別</t>
    <rPh sb="0" eb="1">
      <t>ヒル</t>
    </rPh>
    <rPh sb="2" eb="3">
      <t>ヨル</t>
    </rPh>
    <rPh sb="3" eb="4">
      <t>ベツ</t>
    </rPh>
    <phoneticPr fontId="1"/>
  </si>
  <si>
    <t>砂利道</t>
    <phoneticPr fontId="1"/>
  </si>
  <si>
    <t>砂利道</t>
    <phoneticPr fontId="1"/>
  </si>
  <si>
    <t>舗装道</t>
    <rPh sb="0" eb="2">
      <t>ホソウ</t>
    </rPh>
    <rPh sb="2" eb="3">
      <t>ミチ</t>
    </rPh>
    <phoneticPr fontId="1"/>
  </si>
  <si>
    <t>昼間</t>
    <rPh sb="0" eb="2">
      <t>チュウカン</t>
    </rPh>
    <phoneticPr fontId="1"/>
  </si>
  <si>
    <t>夜間</t>
    <rPh sb="0" eb="2">
      <t>ヤカン</t>
    </rPh>
    <phoneticPr fontId="1"/>
  </si>
  <si>
    <t>⇒</t>
    <phoneticPr fontId="1"/>
  </si>
  <si>
    <t>≪撤去分分岐プール額計算表　1装置につき≫</t>
    <phoneticPr fontId="1"/>
  </si>
  <si>
    <t>（新設分分岐プール額）（消費税を含む）</t>
    <rPh sb="1" eb="3">
      <t>シンセツ</t>
    </rPh>
    <rPh sb="3" eb="4">
      <t>ブン</t>
    </rPh>
    <rPh sb="4" eb="6">
      <t>ブンキ</t>
    </rPh>
    <rPh sb="9" eb="10">
      <t>ガク</t>
    </rPh>
    <rPh sb="12" eb="15">
      <t>ショウヒゼイ</t>
    </rPh>
    <rPh sb="16" eb="17">
      <t>フク</t>
    </rPh>
    <phoneticPr fontId="1"/>
  </si>
  <si>
    <t>（撤去分分岐プール額）（全口径同一　消費税を含む）　1装置につき</t>
    <rPh sb="1" eb="3">
      <t>テッキョ</t>
    </rPh>
    <rPh sb="3" eb="4">
      <t>ブン</t>
    </rPh>
    <rPh sb="4" eb="6">
      <t>ブンキ</t>
    </rPh>
    <rPh sb="9" eb="10">
      <t>ガク</t>
    </rPh>
    <rPh sb="12" eb="13">
      <t>ゼン</t>
    </rPh>
    <rPh sb="13" eb="15">
      <t>コウケイ</t>
    </rPh>
    <rPh sb="15" eb="17">
      <t>ドウイツ</t>
    </rPh>
    <rPh sb="27" eb="29">
      <t>ソウチ</t>
    </rPh>
    <phoneticPr fontId="1"/>
  </si>
  <si>
    <t>≪新設分分岐プール額計算表≫</t>
    <rPh sb="4" eb="6">
      <t>ブンキ</t>
    </rPh>
    <rPh sb="9" eb="10">
      <t>ガク</t>
    </rPh>
    <rPh sb="10" eb="12">
      <t>ケイサン</t>
    </rPh>
    <rPh sb="12" eb="13">
      <t>ヒョウ</t>
    </rPh>
    <phoneticPr fontId="1"/>
  </si>
  <si>
    <t>新設分分岐プール額
(A+B+C+D)</t>
    <rPh sb="3" eb="5">
      <t>ブンキ</t>
    </rPh>
    <rPh sb="8" eb="9">
      <t>ガク</t>
    </rPh>
    <phoneticPr fontId="1"/>
  </si>
  <si>
    <t>本復旧軽減（舗装道のみ）</t>
    <phoneticPr fontId="1"/>
  </si>
  <si>
    <t>自己都合での軽減</t>
    <rPh sb="0" eb="2">
      <t>ジコ</t>
    </rPh>
    <rPh sb="2" eb="4">
      <t>ツゴウ</t>
    </rPh>
    <rPh sb="6" eb="8">
      <t>ケイゲン</t>
    </rPh>
    <phoneticPr fontId="1"/>
  </si>
  <si>
    <t>本復旧軽減
（舗装道のみ　
下段は自己都合の場合）</t>
    <rPh sb="0" eb="1">
      <t>ホン</t>
    </rPh>
    <rPh sb="1" eb="3">
      <t>フッキュウ</t>
    </rPh>
    <rPh sb="3" eb="5">
      <t>ケイゲン</t>
    </rPh>
    <rPh sb="7" eb="9">
      <t>ホソウ</t>
    </rPh>
    <rPh sb="9" eb="10">
      <t>ドウ</t>
    </rPh>
    <rPh sb="14" eb="16">
      <t>ゲダン</t>
    </rPh>
    <rPh sb="17" eb="19">
      <t>ジコ</t>
    </rPh>
    <rPh sb="19" eb="21">
      <t>ツゴウ</t>
    </rPh>
    <rPh sb="22" eb="24">
      <t>バアイ</t>
    </rPh>
    <phoneticPr fontId="1"/>
  </si>
  <si>
    <t>※　自己都合による舗装本復旧の軽減額は他の軽減事由の1/2となります。</t>
    <rPh sb="2" eb="4">
      <t>ジコ</t>
    </rPh>
    <rPh sb="4" eb="6">
      <t>ツゴウ</t>
    </rPh>
    <rPh sb="9" eb="11">
      <t>ホソウ</t>
    </rPh>
    <rPh sb="11" eb="12">
      <t>ホン</t>
    </rPh>
    <rPh sb="12" eb="14">
      <t>フッキュウ</t>
    </rPh>
    <rPh sb="15" eb="17">
      <t>ケイゲン</t>
    </rPh>
    <rPh sb="17" eb="18">
      <t>ガク</t>
    </rPh>
    <rPh sb="19" eb="20">
      <t>タ</t>
    </rPh>
    <rPh sb="21" eb="23">
      <t>ケイゲン</t>
    </rPh>
    <rPh sb="23" eb="25">
      <t>ジユウ</t>
    </rPh>
    <phoneticPr fontId="1"/>
  </si>
  <si>
    <t>なし</t>
    <phoneticPr fontId="1"/>
  </si>
  <si>
    <t>自己都合</t>
    <phoneticPr fontId="1"/>
  </si>
  <si>
    <t>　　※　公道又は公道とみなされる場所で実撤去工事が施工されるとき</t>
    <phoneticPr fontId="9"/>
  </si>
  <si>
    <t>　　※　舗装道での撤去は市で舗装本復旧を施工します。</t>
    <rPh sb="4" eb="6">
      <t>ホソウ</t>
    </rPh>
    <rPh sb="6" eb="7">
      <t>ミチ</t>
    </rPh>
    <rPh sb="9" eb="11">
      <t>テッキョ</t>
    </rPh>
    <rPh sb="12" eb="13">
      <t>シ</t>
    </rPh>
    <rPh sb="14" eb="16">
      <t>ホソウ</t>
    </rPh>
    <rPh sb="16" eb="17">
      <t>ホン</t>
    </rPh>
    <rPh sb="17" eb="19">
      <t>フッキュウ</t>
    </rPh>
    <rPh sb="20" eb="22">
      <t>セコウ</t>
    </rPh>
    <phoneticPr fontId="9"/>
  </si>
  <si>
    <t>あり</t>
    <phoneticPr fontId="4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</si>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</sst>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&quot;+&quot;0"/>
    <numFmt numFmtId="177" formatCode="0&quot;mm&quot;"/>
    <numFmt numFmtId="178" formatCode="#,##0_ "/>
    <numFmt numFmtId="179" formatCode="&quot;¥&quot;#,##0_);[Red]\(&quot;¥&quot;#,##0\)"/>
    <numFmt numFmtId="180" formatCode="&quot;¥&quot;0&quot;/ &quot;&quot;㎥&quot;"/>
    <numFmt numFmtId="181" formatCode="#,##0_);[Red]\(#,##0\)"/>
    <numFmt numFmtId="182" formatCode="#,##0\ &quot;円&quot;"/>
    <numFmt numFmtId="183" formatCode="&quot;（&quot;#,##0&quot;円）&quot;;&quot;（&quot;\-#,##0&quot;円）&quot;"/>
  </numFmts>
  <fonts count="6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perscript"/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9" tint="-0.249977111117893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2"/>
      <color rgb="FF008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0"/>
      <color rgb="FF99FF99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rgb="FFFF3300"/>
      <name val="ＭＳ Ｐゴシック"/>
      <family val="3"/>
      <charset val="128"/>
      <scheme val="minor"/>
    </font>
    <font>
      <u/>
      <sz val="14"/>
      <color rgb="FFFF33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3300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b/>
      <i/>
      <sz val="22"/>
      <color theme="1"/>
      <name val="ＭＳ Ｐゴシック"/>
      <family val="3"/>
      <charset val="128"/>
    </font>
    <font>
      <b/>
      <u/>
      <sz val="16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28"/>
      <color theme="1" tint="4.9989318521683403E-2"/>
      <name val="ＭＳ Ｐゴシック"/>
      <family val="3"/>
      <charset val="128"/>
    </font>
    <font>
      <b/>
      <u/>
      <sz val="11"/>
      <color rgb="FF0000FF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sz val="16"/>
      <color rgb="FF1204C4"/>
      <name val="ＭＳ Ｐゴシック"/>
      <family val="3"/>
      <charset val="128"/>
      <scheme val="minor"/>
    </font>
    <font>
      <b/>
      <sz val="22"/>
      <color rgb="FF1204C4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  <font>
      <b/>
      <sz val="13"/>
      <color rgb="FF1204C4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gradientFill degree="225">
        <stop position="0">
          <color rgb="FF0000FF"/>
        </stop>
        <stop position="1">
          <color theme="0"/>
        </stop>
      </gradient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gradientFill>
        <stop position="0">
          <color theme="3" tint="0.40000610370189521"/>
        </stop>
        <stop position="1">
          <color theme="0"/>
        </stop>
      </gradient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/>
      <top/>
      <bottom/>
      <diagonal/>
    </border>
    <border>
      <left style="dashed">
        <color theme="1"/>
      </left>
      <right/>
      <top/>
      <bottom style="thin">
        <color indexed="64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dashed">
        <color theme="1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 diagonalDown="1"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hair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double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12" fillId="0" borderId="1" xfId="0" applyFont="1" applyFill="1" applyBorder="1" applyProtection="1">
      <alignment vertical="center"/>
      <protection locked="0"/>
    </xf>
    <xf numFmtId="0" fontId="12" fillId="0" borderId="1" xfId="0" applyNumberFormat="1" applyFont="1" applyFill="1" applyBorder="1" applyProtection="1">
      <alignment vertical="center"/>
      <protection locked="0"/>
    </xf>
    <xf numFmtId="3" fontId="12" fillId="0" borderId="1" xfId="0" applyNumberFormat="1" applyFont="1" applyFill="1" applyBorder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178" fontId="12" fillId="0" borderId="1" xfId="0" applyNumberFormat="1" applyFont="1" applyFill="1" applyBorder="1" applyProtection="1">
      <alignment vertical="center"/>
      <protection locked="0"/>
    </xf>
    <xf numFmtId="178" fontId="12" fillId="2" borderId="0" xfId="0" applyNumberFormat="1" applyFont="1" applyFill="1" applyProtection="1">
      <alignment vertical="center"/>
    </xf>
    <xf numFmtId="0" fontId="12" fillId="2" borderId="0" xfId="0" applyFont="1" applyFill="1" applyProtection="1">
      <alignment vertical="center"/>
    </xf>
    <xf numFmtId="0" fontId="12" fillId="3" borderId="0" xfId="0" applyFont="1" applyFill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Protection="1">
      <alignment vertical="center"/>
    </xf>
    <xf numFmtId="178" fontId="12" fillId="3" borderId="0" xfId="0" applyNumberFormat="1" applyFont="1" applyFill="1" applyProtection="1">
      <alignment vertical="center"/>
    </xf>
    <xf numFmtId="178" fontId="12" fillId="3" borderId="0" xfId="0" applyNumberFormat="1" applyFont="1" applyFill="1" applyBorder="1" applyProtection="1">
      <alignment vertical="center"/>
    </xf>
    <xf numFmtId="0" fontId="12" fillId="3" borderId="9" xfId="0" applyFont="1" applyFill="1" applyBorder="1" applyProtection="1">
      <alignment vertical="center"/>
    </xf>
    <xf numFmtId="0" fontId="14" fillId="3" borderId="10" xfId="0" applyFont="1" applyFill="1" applyBorder="1" applyAlignment="1" applyProtection="1">
      <alignment horizontal="left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5" fillId="3" borderId="56" xfId="0" applyFont="1" applyFill="1" applyBorder="1" applyAlignment="1" applyProtection="1">
      <alignment vertical="center"/>
    </xf>
    <xf numFmtId="0" fontId="15" fillId="3" borderId="57" xfId="0" applyFont="1" applyFill="1" applyBorder="1" applyAlignment="1" applyProtection="1">
      <alignment horizontal="center" vertical="center"/>
    </xf>
    <xf numFmtId="178" fontId="15" fillId="3" borderId="58" xfId="0" applyNumberFormat="1" applyFont="1" applyFill="1" applyBorder="1" applyAlignment="1" applyProtection="1">
      <alignment horizontal="center" vertical="center"/>
    </xf>
    <xf numFmtId="0" fontId="12" fillId="3" borderId="12" xfId="0" applyFont="1" applyFill="1" applyBorder="1" applyProtection="1">
      <alignment vertical="center"/>
    </xf>
    <xf numFmtId="0" fontId="12" fillId="3" borderId="13" xfId="0" applyFont="1" applyFill="1" applyBorder="1" applyAlignment="1" applyProtection="1">
      <alignment horizontal="center" vertical="center"/>
    </xf>
    <xf numFmtId="179" fontId="15" fillId="3" borderId="0" xfId="0" applyNumberFormat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</xf>
    <xf numFmtId="0" fontId="12" fillId="3" borderId="14" xfId="0" applyFont="1" applyFill="1" applyBorder="1" applyAlignment="1" applyProtection="1">
      <alignment horizontal="center" vertical="center"/>
    </xf>
    <xf numFmtId="179" fontId="16" fillId="3" borderId="15" xfId="0" applyNumberFormat="1" applyFont="1" applyFill="1" applyBorder="1" applyAlignment="1" applyProtection="1">
      <alignment horizontal="right" vertical="center"/>
    </xf>
    <xf numFmtId="0" fontId="12" fillId="3" borderId="16" xfId="0" applyFont="1" applyFill="1" applyBorder="1" applyProtection="1">
      <alignment vertical="center"/>
    </xf>
    <xf numFmtId="0" fontId="12" fillId="3" borderId="17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179" fontId="16" fillId="3" borderId="17" xfId="0" applyNumberFormat="1" applyFont="1" applyFill="1" applyBorder="1" applyAlignment="1" applyProtection="1">
      <alignment horizontal="right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 textRotation="255"/>
    </xf>
    <xf numFmtId="0" fontId="17" fillId="3" borderId="0" xfId="0" applyFont="1" applyFill="1" applyBorder="1" applyAlignment="1" applyProtection="1">
      <alignment vertical="center"/>
    </xf>
    <xf numFmtId="5" fontId="17" fillId="3" borderId="0" xfId="0" applyNumberFormat="1" applyFont="1" applyFill="1" applyBorder="1" applyAlignment="1" applyProtection="1">
      <alignment horizontal="center" vertical="center"/>
    </xf>
    <xf numFmtId="179" fontId="17" fillId="3" borderId="0" xfId="0" applyNumberFormat="1" applyFont="1" applyFill="1" applyBorder="1" applyProtection="1">
      <alignment vertical="center"/>
    </xf>
    <xf numFmtId="3" fontId="12" fillId="3" borderId="0" xfId="0" applyNumberFormat="1" applyFont="1" applyFill="1" applyBorder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179" fontId="16" fillId="3" borderId="0" xfId="0" applyNumberFormat="1" applyFont="1" applyFill="1" applyBorder="1" applyAlignment="1" applyProtection="1">
      <alignment horizontal="right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179" fontId="18" fillId="3" borderId="0" xfId="0" applyNumberFormat="1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vertical="center"/>
    </xf>
    <xf numFmtId="178" fontId="17" fillId="3" borderId="0" xfId="0" applyNumberFormat="1" applyFont="1" applyFill="1" applyBorder="1" applyProtection="1">
      <alignment vertical="center"/>
    </xf>
    <xf numFmtId="0" fontId="12" fillId="4" borderId="19" xfId="0" applyFont="1" applyFill="1" applyBorder="1" applyAlignment="1" applyProtection="1">
      <alignment horizontal="center" vertical="center"/>
    </xf>
    <xf numFmtId="0" fontId="12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3" fontId="12" fillId="4" borderId="0" xfId="0" applyNumberFormat="1" applyFont="1" applyFill="1" applyBorder="1" applyProtection="1">
      <alignment vertical="center"/>
    </xf>
    <xf numFmtId="179" fontId="19" fillId="4" borderId="0" xfId="0" applyNumberFormat="1" applyFont="1" applyFill="1" applyBorder="1" applyProtection="1">
      <alignment vertical="center"/>
    </xf>
    <xf numFmtId="0" fontId="17" fillId="4" borderId="0" xfId="0" applyFont="1" applyFill="1" applyBorder="1" applyAlignment="1" applyProtection="1">
      <alignment vertical="center" textRotation="255"/>
    </xf>
    <xf numFmtId="0" fontId="17" fillId="4" borderId="0" xfId="0" applyFont="1" applyFill="1" applyBorder="1" applyAlignment="1" applyProtection="1">
      <alignment vertical="center"/>
    </xf>
    <xf numFmtId="5" fontId="17" fillId="4" borderId="0" xfId="0" applyNumberFormat="1" applyFont="1" applyFill="1" applyBorder="1" applyAlignment="1" applyProtection="1">
      <alignment horizontal="center" vertical="center"/>
    </xf>
    <xf numFmtId="179" fontId="17" fillId="4" borderId="0" xfId="0" applyNumberFormat="1" applyFont="1" applyFill="1" applyBorder="1" applyProtection="1">
      <alignment vertical="center"/>
    </xf>
    <xf numFmtId="178" fontId="17" fillId="4" borderId="0" xfId="0" applyNumberFormat="1" applyFont="1" applyFill="1" applyBorder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center" vertical="center"/>
    </xf>
    <xf numFmtId="179" fontId="17" fillId="4" borderId="0" xfId="0" applyNumberFormat="1" applyFont="1" applyFill="1" applyBorder="1" applyAlignment="1" applyProtection="1">
      <alignment horizontal="center" vertical="center"/>
    </xf>
    <xf numFmtId="178" fontId="12" fillId="4" borderId="0" xfId="0" applyNumberFormat="1" applyFont="1" applyFill="1" applyBorder="1" applyProtection="1">
      <alignment vertical="center"/>
    </xf>
    <xf numFmtId="0" fontId="12" fillId="4" borderId="9" xfId="0" applyFont="1" applyFill="1" applyBorder="1" applyProtection="1">
      <alignment vertical="center"/>
    </xf>
    <xf numFmtId="0" fontId="13" fillId="4" borderId="10" xfId="0" applyFont="1" applyFill="1" applyBorder="1" applyAlignment="1" applyProtection="1">
      <alignment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2" xfId="0" applyFont="1" applyFill="1" applyBorder="1" applyProtection="1">
      <alignment vertical="center"/>
    </xf>
    <xf numFmtId="0" fontId="12" fillId="4" borderId="13" xfId="0" applyFont="1" applyFill="1" applyBorder="1" applyAlignment="1" applyProtection="1">
      <alignment horizontal="center" vertical="center"/>
    </xf>
    <xf numFmtId="0" fontId="15" fillId="4" borderId="57" xfId="0" applyFont="1" applyFill="1" applyBorder="1" applyAlignment="1" applyProtection="1">
      <alignment horizontal="center" vertical="center"/>
    </xf>
    <xf numFmtId="179" fontId="15" fillId="4" borderId="58" xfId="0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Protection="1">
      <alignment vertical="center"/>
    </xf>
    <xf numFmtId="0" fontId="21" fillId="4" borderId="0" xfId="0" applyFont="1" applyFill="1" applyBorder="1" applyAlignment="1" applyProtection="1">
      <alignment horizontal="center" vertical="center"/>
    </xf>
    <xf numFmtId="179" fontId="15" fillId="4" borderId="0" xfId="0" applyNumberFormat="1" applyFont="1" applyFill="1" applyBorder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12" fillId="4" borderId="14" xfId="0" applyFont="1" applyFill="1" applyBorder="1" applyAlignment="1" applyProtection="1">
      <alignment horizontal="center" vertical="center"/>
    </xf>
    <xf numFmtId="178" fontId="12" fillId="4" borderId="0" xfId="0" applyNumberFormat="1" applyFont="1" applyFill="1" applyProtection="1">
      <alignment vertical="center"/>
    </xf>
    <xf numFmtId="179" fontId="16" fillId="4" borderId="15" xfId="0" applyNumberFormat="1" applyFont="1" applyFill="1" applyBorder="1" applyAlignment="1" applyProtection="1">
      <alignment horizontal="right" vertical="center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Protection="1">
      <alignment vertical="center"/>
    </xf>
    <xf numFmtId="0" fontId="12" fillId="4" borderId="17" xfId="0" applyFont="1" applyFill="1" applyBorder="1" applyProtection="1">
      <alignment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" xfId="0" applyFont="1" applyFill="1" applyBorder="1" applyProtection="1">
      <alignment vertical="center"/>
    </xf>
    <xf numFmtId="0" fontId="12" fillId="4" borderId="10" xfId="0" applyFont="1" applyFill="1" applyBorder="1" applyProtection="1">
      <alignment vertical="center"/>
    </xf>
    <xf numFmtId="178" fontId="15" fillId="4" borderId="58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4" borderId="20" xfId="0" applyFont="1" applyFill="1" applyBorder="1" applyProtection="1">
      <alignment vertical="center"/>
    </xf>
    <xf numFmtId="0" fontId="12" fillId="4" borderId="21" xfId="0" applyFont="1" applyFill="1" applyBorder="1" applyProtection="1">
      <alignment vertical="center"/>
    </xf>
    <xf numFmtId="0" fontId="12" fillId="4" borderId="17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179" fontId="16" fillId="4" borderId="17" xfId="0" applyNumberFormat="1" applyFont="1" applyFill="1" applyBorder="1" applyAlignment="1" applyProtection="1">
      <alignment horizontal="right" vertical="center"/>
    </xf>
    <xf numFmtId="0" fontId="22" fillId="4" borderId="0" xfId="0" applyFont="1" applyFill="1" applyBorder="1" applyProtection="1">
      <alignment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10" xfId="0" applyFont="1" applyFill="1" applyBorder="1" applyProtection="1">
      <alignment vertical="center"/>
    </xf>
    <xf numFmtId="0" fontId="21" fillId="3" borderId="0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vertical="center" textRotation="255"/>
    </xf>
    <xf numFmtId="0" fontId="23" fillId="3" borderId="0" xfId="0" applyFont="1" applyFill="1" applyBorder="1" applyAlignment="1" applyProtection="1">
      <alignment vertical="center"/>
    </xf>
    <xf numFmtId="0" fontId="23" fillId="3" borderId="0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center" vertical="center"/>
    </xf>
    <xf numFmtId="5" fontId="15" fillId="3" borderId="0" xfId="0" applyNumberFormat="1" applyFont="1" applyFill="1" applyBorder="1" applyAlignment="1" applyProtection="1">
      <alignment horizontal="center" vertical="center"/>
    </xf>
    <xf numFmtId="179" fontId="24" fillId="3" borderId="15" xfId="0" applyNumberFormat="1" applyFont="1" applyFill="1" applyBorder="1" applyProtection="1">
      <alignment vertical="center"/>
    </xf>
    <xf numFmtId="0" fontId="12" fillId="3" borderId="17" xfId="0" applyFont="1" applyFill="1" applyBorder="1" applyProtection="1">
      <alignment vertical="center"/>
    </xf>
    <xf numFmtId="0" fontId="12" fillId="3" borderId="17" xfId="0" applyFont="1" applyFill="1" applyBorder="1" applyAlignment="1" applyProtection="1">
      <alignment horizontal="right" vertical="center"/>
    </xf>
    <xf numFmtId="179" fontId="12" fillId="3" borderId="17" xfId="0" applyNumberFormat="1" applyFont="1" applyFill="1" applyBorder="1" applyProtection="1">
      <alignment vertical="center"/>
    </xf>
    <xf numFmtId="3" fontId="12" fillId="3" borderId="20" xfId="0" applyNumberFormat="1" applyFont="1" applyFill="1" applyBorder="1" applyProtection="1">
      <alignment vertical="center"/>
    </xf>
    <xf numFmtId="179" fontId="24" fillId="3" borderId="15" xfId="0" applyNumberFormat="1" applyFont="1" applyFill="1" applyBorder="1" applyAlignment="1" applyProtection="1">
      <alignment horizontal="right" vertical="center"/>
    </xf>
    <xf numFmtId="179" fontId="19" fillId="3" borderId="0" xfId="0" applyNumberFormat="1" applyFont="1" applyFill="1" applyBorder="1" applyAlignment="1" applyProtection="1">
      <alignment horizontal="right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4" borderId="13" xfId="0" applyFont="1" applyFill="1" applyBorder="1" applyProtection="1">
      <alignment vertical="center"/>
    </xf>
    <xf numFmtId="0" fontId="25" fillId="4" borderId="9" xfId="0" applyFont="1" applyFill="1" applyBorder="1" applyAlignment="1" applyProtection="1">
      <alignment horizontal="center" vertical="center"/>
    </xf>
    <xf numFmtId="0" fontId="23" fillId="4" borderId="0" xfId="0" applyFont="1" applyFill="1" applyBorder="1" applyProtection="1">
      <alignment vertical="center"/>
    </xf>
    <xf numFmtId="0" fontId="23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center" vertical="center"/>
    </xf>
    <xf numFmtId="0" fontId="15" fillId="4" borderId="59" xfId="0" applyFont="1" applyFill="1" applyBorder="1" applyAlignment="1" applyProtection="1">
      <alignment vertical="center" textRotation="255"/>
    </xf>
    <xf numFmtId="0" fontId="12" fillId="4" borderId="17" xfId="0" applyFont="1" applyFill="1" applyBorder="1" applyAlignment="1" applyProtection="1">
      <alignment vertical="center"/>
    </xf>
    <xf numFmtId="0" fontId="12" fillId="4" borderId="10" xfId="0" applyFont="1" applyFill="1" applyBorder="1" applyAlignment="1" applyProtection="1">
      <alignment horizontal="center" vertical="center"/>
    </xf>
    <xf numFmtId="3" fontId="12" fillId="4" borderId="20" xfId="0" applyNumberFormat="1" applyFont="1" applyFill="1" applyBorder="1" applyProtection="1">
      <alignment vertical="center"/>
    </xf>
    <xf numFmtId="0" fontId="26" fillId="4" borderId="9" xfId="0" applyFont="1" applyFill="1" applyBorder="1" applyAlignment="1" applyProtection="1">
      <alignment horizontal="center" vertical="center"/>
    </xf>
    <xf numFmtId="0" fontId="18" fillId="4" borderId="1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28" fillId="3" borderId="56" xfId="0" applyFont="1" applyFill="1" applyBorder="1" applyAlignment="1" applyProtection="1">
      <alignment vertical="center"/>
    </xf>
    <xf numFmtId="0" fontId="28" fillId="3" borderId="57" xfId="0" applyFont="1" applyFill="1" applyBorder="1" applyAlignment="1" applyProtection="1">
      <alignment horizontal="center" vertical="center"/>
    </xf>
    <xf numFmtId="178" fontId="28" fillId="3" borderId="58" xfId="0" applyNumberFormat="1" applyFont="1" applyFill="1" applyBorder="1" applyAlignment="1" applyProtection="1">
      <alignment horizontal="center" vertical="center"/>
    </xf>
    <xf numFmtId="179" fontId="28" fillId="3" borderId="0" xfId="0" applyNumberFormat="1" applyFont="1" applyFill="1" applyBorder="1" applyProtection="1">
      <alignment vertical="center"/>
    </xf>
    <xf numFmtId="0" fontId="28" fillId="3" borderId="0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vertical="center"/>
    </xf>
    <xf numFmtId="0" fontId="12" fillId="3" borderId="61" xfId="0" applyFont="1" applyFill="1" applyBorder="1" applyProtection="1">
      <alignment vertical="center"/>
    </xf>
    <xf numFmtId="0" fontId="12" fillId="3" borderId="62" xfId="0" applyFont="1" applyFill="1" applyBorder="1" applyProtection="1">
      <alignment vertical="center"/>
    </xf>
    <xf numFmtId="0" fontId="12" fillId="3" borderId="63" xfId="0" applyFont="1" applyFill="1" applyBorder="1" applyAlignment="1" applyProtection="1">
      <alignment horizontal="center" vertical="center"/>
    </xf>
    <xf numFmtId="0" fontId="12" fillId="3" borderId="64" xfId="0" applyFont="1" applyFill="1" applyBorder="1" applyProtection="1">
      <alignment vertical="center"/>
    </xf>
    <xf numFmtId="0" fontId="12" fillId="3" borderId="65" xfId="0" applyFont="1" applyFill="1" applyBorder="1" applyAlignment="1" applyProtection="1">
      <alignment horizontal="center" vertical="center"/>
    </xf>
    <xf numFmtId="0" fontId="12" fillId="3" borderId="66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3" fontId="12" fillId="3" borderId="68" xfId="0" applyNumberFormat="1" applyFont="1" applyFill="1" applyBorder="1" applyProtection="1">
      <alignment vertical="center"/>
    </xf>
    <xf numFmtId="0" fontId="12" fillId="3" borderId="69" xfId="0" applyFont="1" applyFill="1" applyBorder="1" applyProtection="1">
      <alignment vertical="center"/>
    </xf>
    <xf numFmtId="0" fontId="12" fillId="4" borderId="60" xfId="0" applyFont="1" applyFill="1" applyBorder="1" applyProtection="1">
      <alignment vertical="center"/>
    </xf>
    <xf numFmtId="0" fontId="12" fillId="4" borderId="61" xfId="0" applyFont="1" applyFill="1" applyBorder="1" applyProtection="1">
      <alignment vertical="center"/>
    </xf>
    <xf numFmtId="0" fontId="12" fillId="4" borderId="62" xfId="0" applyFont="1" applyFill="1" applyBorder="1" applyProtection="1">
      <alignment vertical="center"/>
    </xf>
    <xf numFmtId="0" fontId="12" fillId="4" borderId="66" xfId="0" applyFont="1" applyFill="1" applyBorder="1" applyAlignment="1" applyProtection="1">
      <alignment horizontal="center" vertical="center"/>
    </xf>
    <xf numFmtId="0" fontId="12" fillId="4" borderId="64" xfId="0" applyFont="1" applyFill="1" applyBorder="1" applyProtection="1">
      <alignment vertical="center"/>
    </xf>
    <xf numFmtId="0" fontId="12" fillId="4" borderId="65" xfId="0" applyFont="1" applyFill="1" applyBorder="1" applyAlignment="1" applyProtection="1">
      <alignment horizontal="center" vertical="center"/>
    </xf>
    <xf numFmtId="0" fontId="12" fillId="4" borderId="65" xfId="0" applyFont="1" applyFill="1" applyBorder="1" applyProtection="1">
      <alignment vertical="center"/>
    </xf>
    <xf numFmtId="0" fontId="12" fillId="4" borderId="63" xfId="0" applyFont="1" applyFill="1" applyBorder="1" applyAlignment="1" applyProtection="1">
      <alignment horizontal="center" vertical="center"/>
    </xf>
    <xf numFmtId="0" fontId="12" fillId="4" borderId="67" xfId="0" applyFont="1" applyFill="1" applyBorder="1" applyProtection="1">
      <alignment vertical="center"/>
    </xf>
    <xf numFmtId="0" fontId="12" fillId="4" borderId="68" xfId="0" applyFont="1" applyFill="1" applyBorder="1" applyProtection="1">
      <alignment vertical="center"/>
    </xf>
    <xf numFmtId="0" fontId="12" fillId="4" borderId="69" xfId="0" applyFont="1" applyFill="1" applyBorder="1" applyProtection="1">
      <alignment vertical="center"/>
    </xf>
    <xf numFmtId="0" fontId="28" fillId="4" borderId="56" xfId="0" applyFont="1" applyFill="1" applyBorder="1" applyAlignment="1" applyProtection="1">
      <alignment vertical="center"/>
    </xf>
    <xf numFmtId="0" fontId="28" fillId="4" borderId="57" xfId="0" applyFont="1" applyFill="1" applyBorder="1" applyAlignment="1" applyProtection="1">
      <alignment horizontal="center" vertical="center"/>
    </xf>
    <xf numFmtId="178" fontId="28" fillId="4" borderId="58" xfId="0" applyNumberFormat="1" applyFont="1" applyFill="1" applyBorder="1" applyAlignment="1" applyProtection="1">
      <alignment horizontal="center" vertical="center"/>
    </xf>
    <xf numFmtId="179" fontId="28" fillId="4" borderId="0" xfId="0" applyNumberFormat="1" applyFont="1" applyFill="1" applyBorder="1" applyProtection="1">
      <alignment vertical="center"/>
    </xf>
    <xf numFmtId="0" fontId="28" fillId="4" borderId="0" xfId="0" applyFont="1" applyFill="1" applyBorder="1" applyAlignment="1" applyProtection="1">
      <alignment horizontal="left" vertical="center"/>
    </xf>
    <xf numFmtId="0" fontId="28" fillId="4" borderId="70" xfId="0" applyFont="1" applyFill="1" applyBorder="1" applyAlignment="1" applyProtection="1">
      <alignment vertical="center" textRotation="255"/>
    </xf>
    <xf numFmtId="0" fontId="28" fillId="3" borderId="58" xfId="0" applyFont="1" applyFill="1" applyBorder="1" applyAlignment="1" applyProtection="1">
      <alignment vertical="center" textRotation="255"/>
    </xf>
    <xf numFmtId="0" fontId="29" fillId="3" borderId="0" xfId="0" applyFont="1" applyFill="1" applyBorder="1" applyAlignment="1" applyProtection="1">
      <alignment vertical="center"/>
    </xf>
    <xf numFmtId="0" fontId="29" fillId="3" borderId="0" xfId="0" applyFont="1" applyFill="1" applyBorder="1" applyProtection="1">
      <alignment vertical="center"/>
    </xf>
    <xf numFmtId="0" fontId="29" fillId="3" borderId="0" xfId="0" applyFont="1" applyFill="1" applyBorder="1" applyAlignment="1" applyProtection="1">
      <alignment horizontal="center" vertical="center"/>
    </xf>
    <xf numFmtId="0" fontId="28" fillId="3" borderId="59" xfId="0" applyFont="1" applyFill="1" applyBorder="1" applyAlignment="1" applyProtection="1">
      <alignment vertical="center" textRotation="255"/>
    </xf>
    <xf numFmtId="0" fontId="12" fillId="3" borderId="71" xfId="0" applyFont="1" applyFill="1" applyBorder="1" applyProtection="1">
      <alignment vertical="center"/>
    </xf>
    <xf numFmtId="0" fontId="12" fillId="4" borderId="60" xfId="0" applyFont="1" applyFill="1" applyBorder="1" applyAlignment="1" applyProtection="1">
      <alignment vertical="center"/>
    </xf>
    <xf numFmtId="0" fontId="12" fillId="4" borderId="71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0" xfId="0" applyFont="1" applyFill="1">
      <alignment vertical="center"/>
    </xf>
    <xf numFmtId="0" fontId="0" fillId="5" borderId="0" xfId="0" applyFont="1" applyFill="1">
      <alignment vertical="center"/>
    </xf>
    <xf numFmtId="0" fontId="30" fillId="5" borderId="0" xfId="0" applyFont="1" applyFill="1" applyAlignment="1">
      <alignment horizontal="center" vertical="center"/>
    </xf>
    <xf numFmtId="0" fontId="31" fillId="5" borderId="0" xfId="0" applyFont="1" applyFill="1">
      <alignment vertical="center"/>
    </xf>
    <xf numFmtId="0" fontId="32" fillId="5" borderId="0" xfId="0" applyFont="1" applyFill="1">
      <alignment vertical="center"/>
    </xf>
    <xf numFmtId="0" fontId="33" fillId="3" borderId="0" xfId="0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center" vertical="center"/>
    </xf>
    <xf numFmtId="0" fontId="15" fillId="4" borderId="56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179" fontId="16" fillId="4" borderId="15" xfId="0" applyNumberFormat="1" applyFont="1" applyFill="1" applyBorder="1" applyProtection="1">
      <alignment vertical="center"/>
    </xf>
    <xf numFmtId="0" fontId="0" fillId="6" borderId="1" xfId="0" applyFont="1" applyFill="1" applyBorder="1" applyProtection="1">
      <alignment vertical="center"/>
      <protection locked="0"/>
    </xf>
    <xf numFmtId="0" fontId="30" fillId="5" borderId="0" xfId="0" applyFont="1" applyFill="1" applyProtection="1">
      <alignment vertical="center"/>
    </xf>
    <xf numFmtId="0" fontId="0" fillId="5" borderId="0" xfId="0" applyFont="1" applyFill="1" applyProtection="1">
      <alignment vertical="center"/>
    </xf>
    <xf numFmtId="0" fontId="30" fillId="5" borderId="0" xfId="0" applyFont="1" applyFill="1" applyAlignment="1" applyProtection="1">
      <alignment horizontal="center" vertical="center"/>
    </xf>
    <xf numFmtId="0" fontId="31" fillId="5" borderId="0" xfId="0" applyFont="1" applyFill="1" applyProtection="1">
      <alignment vertical="center"/>
    </xf>
    <xf numFmtId="0" fontId="34" fillId="5" borderId="0" xfId="0" applyFont="1" applyFill="1" applyAlignment="1" applyProtection="1">
      <alignment vertical="center"/>
    </xf>
    <xf numFmtId="0" fontId="35" fillId="5" borderId="0" xfId="0" applyFont="1" applyFill="1" applyAlignment="1" applyProtection="1">
      <alignment vertical="center"/>
    </xf>
    <xf numFmtId="0" fontId="0" fillId="5" borderId="0" xfId="0" applyFill="1" applyProtection="1">
      <alignment vertical="center"/>
    </xf>
    <xf numFmtId="0" fontId="32" fillId="5" borderId="0" xfId="0" applyFont="1" applyFill="1" applyAlignment="1" applyProtection="1">
      <alignment vertical="center"/>
    </xf>
    <xf numFmtId="0" fontId="32" fillId="5" borderId="0" xfId="0" applyFont="1" applyFill="1" applyProtection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32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Alignment="1" applyProtection="1">
      <alignment horizontal="center" vertical="center"/>
    </xf>
    <xf numFmtId="0" fontId="30" fillId="5" borderId="0" xfId="0" applyFont="1" applyFill="1" applyBorder="1" applyProtection="1">
      <alignment vertical="center"/>
    </xf>
    <xf numFmtId="0" fontId="30" fillId="5" borderId="23" xfId="0" applyFont="1" applyFill="1" applyBorder="1" applyProtection="1">
      <alignment vertical="center"/>
    </xf>
    <xf numFmtId="0" fontId="0" fillId="5" borderId="24" xfId="0" applyFont="1" applyFill="1" applyBorder="1" applyProtection="1">
      <alignment vertical="center"/>
    </xf>
    <xf numFmtId="0" fontId="30" fillId="5" borderId="24" xfId="0" applyFont="1" applyFill="1" applyBorder="1" applyProtection="1">
      <alignment vertical="center"/>
    </xf>
    <xf numFmtId="0" fontId="36" fillId="5" borderId="24" xfId="0" applyFont="1" applyFill="1" applyBorder="1" applyAlignment="1" applyProtection="1">
      <alignment vertical="center"/>
    </xf>
    <xf numFmtId="0" fontId="30" fillId="5" borderId="25" xfId="0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horizontal="right" vertical="center"/>
    </xf>
    <xf numFmtId="0" fontId="0" fillId="5" borderId="26" xfId="0" applyFill="1" applyBorder="1" applyAlignment="1" applyProtection="1">
      <alignment horizontal="center" vertical="center"/>
    </xf>
    <xf numFmtId="0" fontId="0" fillId="5" borderId="26" xfId="0" applyFont="1" applyFill="1" applyBorder="1" applyAlignment="1" applyProtection="1">
      <alignment horizontal="center" vertical="center"/>
    </xf>
    <xf numFmtId="5" fontId="37" fillId="5" borderId="15" xfId="0" applyNumberFormat="1" applyFont="1" applyFill="1" applyBorder="1" applyProtection="1">
      <alignment vertical="center"/>
    </xf>
    <xf numFmtId="0" fontId="30" fillId="5" borderId="27" xfId="0" applyFont="1" applyFill="1" applyBorder="1" applyProtection="1">
      <alignment vertical="center"/>
    </xf>
    <xf numFmtId="0" fontId="0" fillId="5" borderId="14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</xf>
    <xf numFmtId="5" fontId="38" fillId="5" borderId="0" xfId="0" applyNumberFormat="1" applyFont="1" applyFill="1" applyBorder="1" applyProtection="1">
      <alignment vertical="center"/>
    </xf>
    <xf numFmtId="0" fontId="30" fillId="5" borderId="28" xfId="0" applyFont="1" applyFill="1" applyBorder="1" applyProtection="1">
      <alignment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0" fillId="5" borderId="28" xfId="0" applyFont="1" applyFill="1" applyBorder="1" applyAlignment="1" applyProtection="1">
      <alignment horizontal="center" vertical="center"/>
    </xf>
    <xf numFmtId="0" fontId="30" fillId="5" borderId="0" xfId="0" applyNumberFormat="1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/>
    </xf>
    <xf numFmtId="177" fontId="0" fillId="5" borderId="0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Protection="1">
      <alignment vertical="center"/>
    </xf>
    <xf numFmtId="5" fontId="37" fillId="5" borderId="0" xfId="0" applyNumberFormat="1" applyFont="1" applyFill="1" applyBorder="1" applyProtection="1">
      <alignment vertical="center"/>
    </xf>
    <xf numFmtId="0" fontId="0" fillId="5" borderId="28" xfId="0" applyFont="1" applyFill="1" applyBorder="1" applyProtection="1">
      <alignment vertical="center"/>
    </xf>
    <xf numFmtId="0" fontId="30" fillId="5" borderId="29" xfId="0" applyFont="1" applyFill="1" applyBorder="1" applyProtection="1">
      <alignment vertical="center"/>
    </xf>
    <xf numFmtId="0" fontId="0" fillId="5" borderId="30" xfId="0" applyFont="1" applyFill="1" applyBorder="1" applyAlignment="1" applyProtection="1">
      <alignment horizontal="center" vertical="center"/>
    </xf>
    <xf numFmtId="0" fontId="0" fillId="5" borderId="31" xfId="0" applyFont="1" applyFill="1" applyBorder="1" applyAlignment="1" applyProtection="1">
      <alignment horizontal="center" vertical="center"/>
    </xf>
    <xf numFmtId="0" fontId="32" fillId="5" borderId="30" xfId="0" applyFont="1" applyFill="1" applyBorder="1" applyAlignment="1" applyProtection="1">
      <alignment horizontal="center" vertical="center"/>
    </xf>
    <xf numFmtId="0" fontId="30" fillId="5" borderId="30" xfId="0" applyFont="1" applyFill="1" applyBorder="1" applyProtection="1">
      <alignment vertical="center"/>
    </xf>
    <xf numFmtId="0" fontId="0" fillId="5" borderId="32" xfId="0" applyFont="1" applyFill="1" applyBorder="1" applyProtection="1">
      <alignment vertical="center"/>
    </xf>
    <xf numFmtId="0" fontId="30" fillId="5" borderId="0" xfId="0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horizontal="center" vertical="center"/>
    </xf>
    <xf numFmtId="49" fontId="0" fillId="5" borderId="0" xfId="0" applyNumberFormat="1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 textRotation="180"/>
    </xf>
    <xf numFmtId="0" fontId="0" fillId="5" borderId="14" xfId="0" applyFill="1" applyBorder="1" applyAlignment="1" applyProtection="1">
      <alignment horizontal="center" vertical="center"/>
    </xf>
    <xf numFmtId="5" fontId="37" fillId="5" borderId="15" xfId="0" applyNumberFormat="1" applyFont="1" applyFill="1" applyBorder="1" applyAlignment="1" applyProtection="1">
      <alignment horizontal="right" vertical="center"/>
    </xf>
    <xf numFmtId="5" fontId="37" fillId="5" borderId="0" xfId="0" applyNumberFormat="1" applyFont="1" applyFill="1" applyBorder="1" applyAlignment="1" applyProtection="1">
      <alignment horizontal="right" vertical="center"/>
    </xf>
    <xf numFmtId="0" fontId="39" fillId="5" borderId="0" xfId="0" applyFont="1" applyFill="1" applyBorder="1" applyAlignment="1" applyProtection="1">
      <alignment horizontal="right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5" fontId="28" fillId="3" borderId="72" xfId="0" applyNumberFormat="1" applyFont="1" applyFill="1" applyBorder="1" applyAlignment="1" applyProtection="1">
      <alignment horizontal="right" vertical="center"/>
    </xf>
    <xf numFmtId="0" fontId="0" fillId="0" borderId="7" xfId="0" applyFill="1" applyBorder="1">
      <alignment vertical="center"/>
    </xf>
    <xf numFmtId="0" fontId="0" fillId="5" borderId="0" xfId="0" applyFill="1" applyAlignment="1" applyProtection="1"/>
    <xf numFmtId="180" fontId="15" fillId="3" borderId="72" xfId="0" applyNumberFormat="1" applyFont="1" applyFill="1" applyBorder="1" applyAlignment="1" applyProtection="1">
      <alignment horizontal="right" vertical="center"/>
    </xf>
    <xf numFmtId="180" fontId="15" fillId="3" borderId="73" xfId="0" applyNumberFormat="1" applyFont="1" applyFill="1" applyBorder="1" applyAlignment="1" applyProtection="1">
      <alignment horizontal="right" vertical="center"/>
    </xf>
    <xf numFmtId="180" fontId="28" fillId="3" borderId="73" xfId="0" applyNumberFormat="1" applyFont="1" applyFill="1" applyBorder="1" applyAlignment="1" applyProtection="1">
      <alignment horizontal="right" vertical="center"/>
    </xf>
    <xf numFmtId="180" fontId="15" fillId="4" borderId="72" xfId="0" applyNumberFormat="1" applyFont="1" applyFill="1" applyBorder="1" applyAlignment="1" applyProtection="1">
      <alignment horizontal="right" vertical="center"/>
    </xf>
    <xf numFmtId="180" fontId="15" fillId="4" borderId="73" xfId="0" applyNumberFormat="1" applyFont="1" applyFill="1" applyBorder="1" applyAlignment="1" applyProtection="1">
      <alignment horizontal="right" vertical="center"/>
    </xf>
    <xf numFmtId="180" fontId="28" fillId="4" borderId="73" xfId="0" applyNumberFormat="1" applyFont="1" applyFill="1" applyBorder="1" applyAlignment="1" applyProtection="1">
      <alignment horizontal="right" vertical="center"/>
    </xf>
    <xf numFmtId="181" fontId="15" fillId="3" borderId="0" xfId="0" applyNumberFormat="1" applyFont="1" applyFill="1" applyBorder="1" applyAlignment="1" applyProtection="1">
      <alignment horizontal="center" vertical="center"/>
    </xf>
    <xf numFmtId="181" fontId="15" fillId="3" borderId="0" xfId="0" applyNumberFormat="1" applyFont="1" applyFill="1" applyBorder="1" applyAlignment="1" applyProtection="1">
      <alignment horizontal="left" vertical="center"/>
    </xf>
    <xf numFmtId="178" fontId="28" fillId="3" borderId="0" xfId="0" applyNumberFormat="1" applyFont="1" applyFill="1" applyBorder="1" applyAlignment="1" applyProtection="1">
      <alignment vertical="center"/>
    </xf>
    <xf numFmtId="178" fontId="28" fillId="3" borderId="0" xfId="0" applyNumberFormat="1" applyFont="1" applyFill="1" applyBorder="1" applyAlignment="1" applyProtection="1">
      <alignment horizontal="center" vertical="center"/>
    </xf>
    <xf numFmtId="178" fontId="28" fillId="3" borderId="0" xfId="0" applyNumberFormat="1" applyFont="1" applyFill="1" applyBorder="1" applyAlignment="1" applyProtection="1">
      <alignment horizontal="left" vertical="center"/>
    </xf>
    <xf numFmtId="178" fontId="15" fillId="4" borderId="0" xfId="0" applyNumberFormat="1" applyFont="1" applyFill="1" applyBorder="1" applyAlignment="1" applyProtection="1">
      <alignment vertical="center"/>
    </xf>
    <xf numFmtId="178" fontId="28" fillId="4" borderId="0" xfId="0" applyNumberFormat="1" applyFont="1" applyFill="1" applyBorder="1" applyAlignment="1" applyProtection="1">
      <alignment vertical="center"/>
    </xf>
    <xf numFmtId="178" fontId="28" fillId="4" borderId="0" xfId="0" applyNumberFormat="1" applyFont="1" applyFill="1" applyBorder="1" applyAlignment="1" applyProtection="1">
      <alignment horizontal="center" vertical="center"/>
    </xf>
    <xf numFmtId="178" fontId="28" fillId="4" borderId="0" xfId="0" applyNumberFormat="1" applyFont="1" applyFill="1" applyBorder="1" applyAlignment="1" applyProtection="1">
      <alignment horizontal="left" vertical="center"/>
    </xf>
    <xf numFmtId="5" fontId="28" fillId="4" borderId="72" xfId="0" applyNumberFormat="1" applyFont="1" applyFill="1" applyBorder="1" applyAlignment="1" applyProtection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vertical="center" textRotation="255"/>
    </xf>
    <xf numFmtId="0" fontId="33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right" vertical="center"/>
    </xf>
    <xf numFmtId="0" fontId="15" fillId="3" borderId="74" xfId="0" applyFont="1" applyFill="1" applyBorder="1" applyAlignment="1" applyProtection="1">
      <alignment vertical="center" textRotation="255"/>
    </xf>
    <xf numFmtId="0" fontId="12" fillId="4" borderId="0" xfId="0" applyFont="1" applyFill="1" applyBorder="1" applyAlignment="1" applyProtection="1">
      <alignment horizontal="center" vertical="center"/>
    </xf>
    <xf numFmtId="0" fontId="15" fillId="3" borderId="59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179" fontId="12" fillId="3" borderId="0" xfId="0" applyNumberFormat="1" applyFont="1" applyFill="1" applyBorder="1" applyAlignment="1" applyProtection="1">
      <alignment horizontal="center" vertical="center"/>
    </xf>
    <xf numFmtId="179" fontId="12" fillId="4" borderId="0" xfId="0" applyNumberFormat="1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179" fontId="16" fillId="3" borderId="10" xfId="0" applyNumberFormat="1" applyFont="1" applyFill="1" applyBorder="1" applyAlignment="1" applyProtection="1">
      <alignment horizontal="right" vertical="center"/>
    </xf>
    <xf numFmtId="0" fontId="14" fillId="4" borderId="0" xfId="0" applyFont="1" applyFill="1" applyBorder="1" applyAlignment="1" applyProtection="1">
      <alignment horizontal="right" vertical="center"/>
    </xf>
    <xf numFmtId="180" fontId="15" fillId="3" borderId="0" xfId="0" applyNumberFormat="1" applyFont="1" applyFill="1" applyBorder="1" applyAlignment="1" applyProtection="1">
      <alignment horizontal="right" vertical="center"/>
    </xf>
    <xf numFmtId="0" fontId="12" fillId="3" borderId="33" xfId="0" applyFont="1" applyFill="1" applyBorder="1" applyProtection="1">
      <alignment vertical="center"/>
    </xf>
    <xf numFmtId="0" fontId="12" fillId="3" borderId="33" xfId="0" applyFont="1" applyFill="1" applyBorder="1" applyAlignment="1" applyProtection="1">
      <alignment horizontal="center" vertical="center"/>
    </xf>
    <xf numFmtId="3" fontId="12" fillId="3" borderId="33" xfId="0" applyNumberFormat="1" applyFont="1" applyFill="1" applyBorder="1" applyProtection="1">
      <alignment vertical="center"/>
    </xf>
    <xf numFmtId="179" fontId="19" fillId="3" borderId="33" xfId="0" applyNumberFormat="1" applyFont="1" applyFill="1" applyBorder="1" applyProtection="1">
      <alignment vertical="center"/>
    </xf>
    <xf numFmtId="0" fontId="17" fillId="3" borderId="33" xfId="0" applyFont="1" applyFill="1" applyBorder="1" applyAlignment="1" applyProtection="1">
      <alignment vertical="center" textRotation="255"/>
    </xf>
    <xf numFmtId="0" fontId="17" fillId="3" borderId="33" xfId="0" applyFont="1" applyFill="1" applyBorder="1" applyAlignment="1" applyProtection="1">
      <alignment vertical="center"/>
    </xf>
    <xf numFmtId="5" fontId="17" fillId="3" borderId="33" xfId="0" applyNumberFormat="1" applyFont="1" applyFill="1" applyBorder="1" applyAlignment="1" applyProtection="1">
      <alignment horizontal="center" vertical="center"/>
    </xf>
    <xf numFmtId="179" fontId="17" fillId="3" borderId="33" xfId="0" applyNumberFormat="1" applyFont="1" applyFill="1" applyBorder="1" applyProtection="1">
      <alignment vertical="center"/>
    </xf>
    <xf numFmtId="178" fontId="17" fillId="3" borderId="33" xfId="0" applyNumberFormat="1" applyFont="1" applyFill="1" applyBorder="1" applyProtection="1">
      <alignment vertical="center"/>
    </xf>
    <xf numFmtId="178" fontId="12" fillId="3" borderId="33" xfId="0" applyNumberFormat="1" applyFont="1" applyFill="1" applyBorder="1" applyProtection="1">
      <alignment vertical="center"/>
    </xf>
    <xf numFmtId="0" fontId="12" fillId="4" borderId="33" xfId="0" applyFont="1" applyFill="1" applyBorder="1" applyProtection="1">
      <alignment vertical="center"/>
    </xf>
    <xf numFmtId="0" fontId="12" fillId="4" borderId="33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vertical="center"/>
    </xf>
    <xf numFmtId="178" fontId="12" fillId="4" borderId="33" xfId="0" applyNumberFormat="1" applyFont="1" applyFill="1" applyBorder="1" applyProtection="1">
      <alignment vertical="center"/>
    </xf>
    <xf numFmtId="0" fontId="14" fillId="3" borderId="33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vertical="center"/>
    </xf>
    <xf numFmtId="0" fontId="14" fillId="3" borderId="0" xfId="0" applyFont="1" applyFill="1" applyBorder="1" applyProtection="1">
      <alignment vertical="center"/>
    </xf>
    <xf numFmtId="0" fontId="14" fillId="4" borderId="0" xfId="0" applyFont="1" applyFill="1" applyBorder="1" applyProtection="1">
      <alignment vertical="center"/>
    </xf>
    <xf numFmtId="0" fontId="15" fillId="3" borderId="75" xfId="0" applyFont="1" applyFill="1" applyBorder="1" applyAlignment="1" applyProtection="1">
      <alignment vertical="center"/>
    </xf>
    <xf numFmtId="179" fontId="12" fillId="3" borderId="14" xfId="0" applyNumberFormat="1" applyFont="1" applyFill="1" applyBorder="1" applyProtection="1">
      <alignment vertical="center"/>
    </xf>
    <xf numFmtId="179" fontId="12" fillId="3" borderId="14" xfId="0" applyNumberFormat="1" applyFont="1" applyFill="1" applyBorder="1" applyAlignment="1" applyProtection="1">
      <alignment horizontal="right" vertical="center"/>
    </xf>
    <xf numFmtId="179" fontId="12" fillId="4" borderId="14" xfId="0" applyNumberFormat="1" applyFont="1" applyFill="1" applyBorder="1" applyProtection="1">
      <alignment vertical="center"/>
    </xf>
    <xf numFmtId="179" fontId="12" fillId="4" borderId="14" xfId="0" applyNumberFormat="1" applyFont="1" applyFill="1" applyBorder="1" applyAlignment="1" applyProtection="1">
      <alignment vertical="center"/>
    </xf>
    <xf numFmtId="179" fontId="12" fillId="4" borderId="14" xfId="0" applyNumberFormat="1" applyFont="1" applyFill="1" applyBorder="1" applyAlignment="1" applyProtection="1">
      <alignment horizontal="right" vertical="center"/>
    </xf>
    <xf numFmtId="179" fontId="14" fillId="4" borderId="0" xfId="0" applyNumberFormat="1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5" fillId="3" borderId="74" xfId="0" applyFont="1" applyFill="1" applyBorder="1" applyAlignment="1" applyProtection="1">
      <alignment vertical="center" textRotation="255"/>
    </xf>
    <xf numFmtId="0" fontId="15" fillId="3" borderId="75" xfId="0" applyFont="1" applyFill="1" applyBorder="1" applyAlignment="1" applyProtection="1">
      <alignment vertical="center" textRotation="255"/>
    </xf>
    <xf numFmtId="0" fontId="15" fillId="3" borderId="70" xfId="0" applyFont="1" applyFill="1" applyBorder="1" applyAlignment="1" applyProtection="1">
      <alignment vertical="center" textRotation="255"/>
    </xf>
    <xf numFmtId="0" fontId="15" fillId="4" borderId="74" xfId="0" applyFont="1" applyFill="1" applyBorder="1" applyAlignment="1" applyProtection="1">
      <alignment vertical="center" textRotation="255"/>
    </xf>
    <xf numFmtId="0" fontId="15" fillId="4" borderId="75" xfId="0" applyFont="1" applyFill="1" applyBorder="1" applyAlignment="1" applyProtection="1">
      <alignment vertical="center" textRotation="255"/>
    </xf>
    <xf numFmtId="0" fontId="15" fillId="4" borderId="70" xfId="0" applyFont="1" applyFill="1" applyBorder="1" applyAlignment="1" applyProtection="1">
      <alignment vertical="center" textRotation="255"/>
    </xf>
    <xf numFmtId="0" fontId="15" fillId="4" borderId="0" xfId="0" applyFont="1" applyFill="1" applyBorder="1" applyAlignment="1" applyProtection="1">
      <alignment vertical="top" textRotation="255" indent="2"/>
    </xf>
    <xf numFmtId="0" fontId="14" fillId="3" borderId="0" xfId="0" applyFont="1" applyFill="1" applyBorder="1" applyAlignment="1" applyProtection="1">
      <alignment horizontal="right" vertical="center"/>
    </xf>
    <xf numFmtId="0" fontId="0" fillId="0" borderId="3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0" fillId="0" borderId="2" xfId="0" applyFont="1" applyBorder="1">
      <alignment vertical="center"/>
    </xf>
    <xf numFmtId="0" fontId="40" fillId="0" borderId="4" xfId="0" applyFont="1" applyBorder="1">
      <alignment vertical="center"/>
    </xf>
    <xf numFmtId="38" fontId="10" fillId="0" borderId="2" xfId="1" applyFont="1" applyBorder="1" applyAlignment="1">
      <alignment horizontal="right" vertical="center"/>
    </xf>
    <xf numFmtId="38" fontId="10" fillId="0" borderId="5" xfId="1" applyFont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35" xfId="1" applyFont="1" applyBorder="1">
      <alignment vertical="center"/>
    </xf>
    <xf numFmtId="38" fontId="10" fillId="0" borderId="36" xfId="1" applyFont="1" applyBorder="1">
      <alignment vertical="center"/>
    </xf>
    <xf numFmtId="38" fontId="10" fillId="0" borderId="37" xfId="1" applyFont="1" applyBorder="1">
      <alignment vertical="center"/>
    </xf>
    <xf numFmtId="38" fontId="10" fillId="0" borderId="2" xfId="1" applyFont="1" applyBorder="1">
      <alignment vertical="center"/>
    </xf>
    <xf numFmtId="3" fontId="0" fillId="8" borderId="0" xfId="0" applyNumberFormat="1" applyFill="1">
      <alignment vertical="center"/>
    </xf>
    <xf numFmtId="3" fontId="40" fillId="8" borderId="38" xfId="0" applyNumberFormat="1" applyFont="1" applyFill="1" applyBorder="1">
      <alignment vertical="center"/>
    </xf>
    <xf numFmtId="3" fontId="40" fillId="8" borderId="39" xfId="0" applyNumberFormat="1" applyFont="1" applyFill="1" applyBorder="1">
      <alignment vertical="center"/>
    </xf>
    <xf numFmtId="3" fontId="40" fillId="8" borderId="40" xfId="0" applyNumberFormat="1" applyFont="1" applyFill="1" applyBorder="1">
      <alignment vertical="center"/>
    </xf>
    <xf numFmtId="0" fontId="30" fillId="8" borderId="0" xfId="0" applyFont="1" applyFill="1">
      <alignment vertical="center"/>
    </xf>
    <xf numFmtId="3" fontId="0" fillId="5" borderId="0" xfId="0" applyNumberFormat="1" applyFill="1">
      <alignment vertical="center"/>
    </xf>
    <xf numFmtId="0" fontId="30" fillId="5" borderId="0" xfId="0" applyFont="1" applyFill="1" applyAlignment="1">
      <alignment vertical="center"/>
    </xf>
    <xf numFmtId="3" fontId="43" fillId="5" borderId="41" xfId="0" applyNumberFormat="1" applyFont="1" applyFill="1" applyBorder="1" applyAlignment="1">
      <alignment vertical="center" wrapText="1"/>
    </xf>
    <xf numFmtId="3" fontId="43" fillId="5" borderId="0" xfId="0" applyNumberFormat="1" applyFont="1" applyFill="1" applyBorder="1" applyAlignment="1">
      <alignment vertical="center" wrapText="1"/>
    </xf>
    <xf numFmtId="3" fontId="43" fillId="5" borderId="42" xfId="0" applyNumberFormat="1" applyFont="1" applyFill="1" applyBorder="1" applyAlignment="1">
      <alignment vertical="center" wrapText="1"/>
    </xf>
    <xf numFmtId="3" fontId="0" fillId="5" borderId="0" xfId="0" applyNumberFormat="1" applyFill="1" applyBorder="1">
      <alignment vertical="center"/>
    </xf>
    <xf numFmtId="0" fontId="30" fillId="5" borderId="0" xfId="0" applyFont="1" applyFill="1" applyBorder="1" applyAlignment="1">
      <alignment vertical="center"/>
    </xf>
    <xf numFmtId="3" fontId="43" fillId="5" borderId="0" xfId="0" applyNumberFormat="1" applyFont="1" applyFill="1" applyBorder="1" applyAlignment="1">
      <alignment horizontal="left" vertical="center" wrapText="1"/>
    </xf>
    <xf numFmtId="0" fontId="42" fillId="5" borderId="0" xfId="0" applyFont="1" applyFill="1" applyBorder="1" applyAlignment="1" applyProtection="1">
      <alignment vertical="top" wrapText="1"/>
    </xf>
    <xf numFmtId="3" fontId="43" fillId="5" borderId="43" xfId="0" applyNumberFormat="1" applyFont="1" applyFill="1" applyBorder="1" applyAlignment="1">
      <alignment horizontal="left" vertical="center" wrapText="1"/>
    </xf>
    <xf numFmtId="3" fontId="11" fillId="5" borderId="0" xfId="0" applyNumberFormat="1" applyFont="1" applyFill="1">
      <alignment vertical="center"/>
    </xf>
    <xf numFmtId="3" fontId="0" fillId="5" borderId="0" xfId="0" applyNumberFormat="1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3" fontId="0" fillId="5" borderId="0" xfId="0" applyNumberFormat="1" applyFont="1" applyFill="1" applyAlignment="1">
      <alignment horizontal="center" vertical="center"/>
    </xf>
    <xf numFmtId="0" fontId="44" fillId="5" borderId="42" xfId="0" applyFont="1" applyFill="1" applyBorder="1" applyAlignment="1" applyProtection="1">
      <alignment vertical="top" wrapText="1"/>
    </xf>
    <xf numFmtId="0" fontId="44" fillId="5" borderId="0" xfId="0" applyFont="1" applyFill="1" applyBorder="1" applyAlignment="1" applyProtection="1">
      <alignment vertical="top" wrapText="1"/>
    </xf>
    <xf numFmtId="38" fontId="10" fillId="0" borderId="1" xfId="1" applyFont="1" applyBorder="1" applyAlignment="1">
      <alignment horizontal="center" vertical="center"/>
    </xf>
    <xf numFmtId="3" fontId="0" fillId="0" borderId="0" xfId="0" applyNumberFormat="1">
      <alignment vertical="center"/>
    </xf>
    <xf numFmtId="3" fontId="36" fillId="0" borderId="0" xfId="0" applyNumberFormat="1" applyFo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 wrapText="1"/>
    </xf>
    <xf numFmtId="0" fontId="0" fillId="0" borderId="76" xfId="0" applyBorder="1" applyAlignment="1">
      <alignment vertical="center" shrinkToFit="1"/>
    </xf>
    <xf numFmtId="182" fontId="11" fillId="0" borderId="77" xfId="0" applyNumberFormat="1" applyFont="1" applyBorder="1" applyAlignment="1">
      <alignment vertical="center" shrinkToFit="1"/>
    </xf>
    <xf numFmtId="182" fontId="37" fillId="0" borderId="78" xfId="0" applyNumberFormat="1" applyFont="1" applyBorder="1" applyAlignment="1">
      <alignment vertical="center" shrinkToFit="1"/>
    </xf>
    <xf numFmtId="182" fontId="37" fillId="0" borderId="79" xfId="0" applyNumberFormat="1" applyFont="1" applyBorder="1" applyAlignment="1">
      <alignment vertical="center" shrinkToFit="1"/>
    </xf>
    <xf numFmtId="182" fontId="37" fillId="0" borderId="80" xfId="0" applyNumberFormat="1" applyFont="1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182" fontId="11" fillId="0" borderId="82" xfId="0" applyNumberFormat="1" applyFont="1" applyBorder="1" applyAlignment="1">
      <alignment vertical="center" shrinkToFit="1"/>
    </xf>
    <xf numFmtId="182" fontId="37" fillId="0" borderId="73" xfId="0" applyNumberFormat="1" applyFont="1" applyBorder="1" applyAlignment="1">
      <alignment vertical="center" shrinkToFit="1"/>
    </xf>
    <xf numFmtId="182" fontId="37" fillId="0" borderId="83" xfId="0" applyNumberFormat="1" applyFont="1" applyBorder="1" applyAlignment="1">
      <alignment vertical="center" shrinkToFit="1"/>
    </xf>
    <xf numFmtId="3" fontId="43" fillId="0" borderId="8" xfId="0" applyNumberFormat="1" applyFont="1" applyBorder="1">
      <alignment vertical="center"/>
    </xf>
    <xf numFmtId="182" fontId="37" fillId="0" borderId="84" xfId="0" applyNumberFormat="1" applyFont="1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182" fontId="11" fillId="0" borderId="87" xfId="0" applyNumberFormat="1" applyFont="1" applyBorder="1" applyAlignment="1">
      <alignment vertical="center" shrinkToFit="1"/>
    </xf>
    <xf numFmtId="182" fontId="37" fillId="0" borderId="88" xfId="0" applyNumberFormat="1" applyFont="1" applyBorder="1" applyAlignment="1">
      <alignment vertical="center" shrinkToFit="1"/>
    </xf>
    <xf numFmtId="182" fontId="37" fillId="0" borderId="89" xfId="0" applyNumberFormat="1" applyFont="1" applyBorder="1" applyAlignment="1">
      <alignment vertical="center" shrinkToFit="1"/>
    </xf>
    <xf numFmtId="3" fontId="0" fillId="0" borderId="0" xfId="0" applyNumberFormat="1" applyFont="1" applyBorder="1">
      <alignment vertical="center"/>
    </xf>
    <xf numFmtId="3" fontId="11" fillId="0" borderId="0" xfId="0" applyNumberFormat="1" applyFont="1" applyBorder="1">
      <alignment vertical="center"/>
    </xf>
    <xf numFmtId="176" fontId="11" fillId="0" borderId="0" xfId="0" applyNumberFormat="1" applyFont="1" applyBorder="1">
      <alignment vertical="center"/>
    </xf>
    <xf numFmtId="0" fontId="35" fillId="0" borderId="0" xfId="0" applyFont="1" applyBorder="1">
      <alignment vertical="center"/>
    </xf>
    <xf numFmtId="3" fontId="0" fillId="0" borderId="90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82" fontId="37" fillId="0" borderId="77" xfId="0" applyNumberFormat="1" applyFont="1" applyBorder="1" applyAlignment="1">
      <alignment vertical="center" shrinkToFit="1"/>
    </xf>
    <xf numFmtId="182" fontId="37" fillId="0" borderId="92" xfId="0" applyNumberFormat="1" applyFont="1" applyBorder="1" applyAlignment="1">
      <alignment vertical="center" shrinkToFit="1"/>
    </xf>
    <xf numFmtId="0" fontId="11" fillId="0" borderId="82" xfId="0" applyFont="1" applyBorder="1" applyAlignment="1">
      <alignment horizontal="center" vertical="center"/>
    </xf>
    <xf numFmtId="182" fontId="37" fillId="0" borderId="82" xfId="0" applyNumberFormat="1" applyFont="1" applyBorder="1" applyAlignment="1">
      <alignment vertical="center" shrinkToFit="1"/>
    </xf>
    <xf numFmtId="182" fontId="37" fillId="0" borderId="93" xfId="0" applyNumberFormat="1" applyFont="1" applyBorder="1" applyAlignment="1">
      <alignment vertical="center" shrinkToFit="1"/>
    </xf>
    <xf numFmtId="0" fontId="11" fillId="0" borderId="84" xfId="0" applyFont="1" applyBorder="1" applyAlignment="1">
      <alignment horizontal="center" vertical="center"/>
    </xf>
    <xf numFmtId="182" fontId="11" fillId="0" borderId="84" xfId="0" applyNumberFormat="1" applyFont="1" applyBorder="1" applyAlignment="1">
      <alignment vertical="center" shrinkToFit="1"/>
    </xf>
    <xf numFmtId="182" fontId="37" fillId="0" borderId="94" xfId="0" applyNumberFormat="1" applyFont="1" applyBorder="1" applyAlignment="1">
      <alignment vertical="center" shrinkToFit="1"/>
    </xf>
    <xf numFmtId="0" fontId="11" fillId="0" borderId="95" xfId="0" applyFont="1" applyBorder="1" applyAlignment="1">
      <alignment horizontal="center" vertical="center"/>
    </xf>
    <xf numFmtId="182" fontId="11" fillId="0" borderId="95" xfId="0" applyNumberFormat="1" applyFont="1" applyBorder="1" applyAlignment="1">
      <alignment vertical="center" shrinkToFit="1"/>
    </xf>
    <xf numFmtId="182" fontId="37" fillId="0" borderId="95" xfId="0" applyNumberFormat="1" applyFont="1" applyBorder="1" applyAlignment="1">
      <alignment vertical="center" shrinkToFit="1"/>
    </xf>
    <xf numFmtId="182" fontId="37" fillId="0" borderId="96" xfId="0" applyNumberFormat="1" applyFont="1" applyBorder="1" applyAlignment="1">
      <alignment vertical="center" shrinkToFit="1"/>
    </xf>
    <xf numFmtId="182" fontId="37" fillId="0" borderId="97" xfId="0" applyNumberFormat="1" applyFont="1" applyBorder="1" applyAlignment="1">
      <alignment vertical="center" shrinkToFit="1"/>
    </xf>
    <xf numFmtId="0" fontId="11" fillId="0" borderId="87" xfId="0" applyFont="1" applyBorder="1" applyAlignment="1">
      <alignment horizontal="center" vertical="center"/>
    </xf>
    <xf numFmtId="182" fontId="37" fillId="0" borderId="87" xfId="0" applyNumberFormat="1" applyFont="1" applyBorder="1" applyAlignment="1">
      <alignment vertical="center" shrinkToFit="1"/>
    </xf>
    <xf numFmtId="182" fontId="37" fillId="0" borderId="98" xfId="0" applyNumberFormat="1" applyFont="1" applyBorder="1" applyAlignment="1">
      <alignment vertical="center" shrinkToFit="1"/>
    </xf>
    <xf numFmtId="181" fontId="15" fillId="3" borderId="0" xfId="0" applyNumberFormat="1" applyFont="1" applyFill="1" applyBorder="1" applyAlignment="1" applyProtection="1">
      <alignment vertical="center"/>
    </xf>
    <xf numFmtId="178" fontId="28" fillId="3" borderId="0" xfId="0" applyNumberFormat="1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178" fontId="28" fillId="3" borderId="0" xfId="0" applyNumberFormat="1" applyFont="1" applyFill="1" applyBorder="1" applyAlignment="1" applyProtection="1">
      <alignment vertical="center"/>
    </xf>
    <xf numFmtId="178" fontId="28" fillId="4" borderId="0" xfId="0" applyNumberFormat="1" applyFont="1" applyFill="1" applyBorder="1" applyAlignment="1" applyProtection="1">
      <alignment vertical="center"/>
    </xf>
    <xf numFmtId="0" fontId="28" fillId="4" borderId="75" xfId="0" applyFont="1" applyFill="1" applyBorder="1" applyAlignment="1" applyProtection="1">
      <alignment vertical="center" textRotation="255"/>
    </xf>
    <xf numFmtId="0" fontId="28" fillId="3" borderId="0" xfId="0" applyFont="1" applyFill="1" applyBorder="1" applyAlignment="1" applyProtection="1">
      <alignment vertical="center"/>
    </xf>
    <xf numFmtId="0" fontId="15" fillId="4" borderId="75" xfId="0" applyFont="1" applyFill="1" applyBorder="1" applyAlignment="1" applyProtection="1">
      <alignment vertical="center" textRotation="255"/>
    </xf>
    <xf numFmtId="178" fontId="28" fillId="4" borderId="0" xfId="0" applyNumberFormat="1" applyFont="1" applyFill="1" applyBorder="1" applyAlignment="1" applyProtection="1">
      <alignment vertical="center"/>
    </xf>
    <xf numFmtId="178" fontId="15" fillId="3" borderId="0" xfId="0" applyNumberFormat="1" applyFont="1" applyFill="1" applyBorder="1" applyAlignment="1" applyProtection="1">
      <alignment vertical="center"/>
    </xf>
    <xf numFmtId="181" fontId="15" fillId="9" borderId="0" xfId="0" applyNumberFormat="1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horizontal="left" vertical="center"/>
    </xf>
    <xf numFmtId="180" fontId="15" fillId="9" borderId="73" xfId="0" applyNumberFormat="1" applyFont="1" applyFill="1" applyBorder="1" applyAlignment="1" applyProtection="1">
      <alignment horizontal="right" vertical="center"/>
    </xf>
    <xf numFmtId="179" fontId="15" fillId="9" borderId="0" xfId="0" applyNumberFormat="1" applyFont="1" applyFill="1" applyBorder="1" applyProtection="1">
      <alignment vertical="center"/>
    </xf>
    <xf numFmtId="178" fontId="15" fillId="9" borderId="0" xfId="0" applyNumberFormat="1" applyFont="1" applyFill="1" applyBorder="1" applyAlignment="1" applyProtection="1">
      <alignment vertical="center"/>
    </xf>
    <xf numFmtId="0" fontId="15" fillId="9" borderId="0" xfId="0" applyFont="1" applyFill="1" applyBorder="1" applyAlignment="1" applyProtection="1">
      <alignment vertical="center"/>
    </xf>
    <xf numFmtId="180" fontId="15" fillId="9" borderId="0" xfId="0" applyNumberFormat="1" applyFont="1" applyFill="1" applyBorder="1" applyAlignment="1" applyProtection="1">
      <alignment horizontal="right" vertical="center"/>
    </xf>
    <xf numFmtId="178" fontId="28" fillId="4" borderId="0" xfId="0" applyNumberFormat="1" applyFont="1" applyFill="1" applyBorder="1" applyAlignment="1" applyProtection="1">
      <alignment vertical="center"/>
    </xf>
    <xf numFmtId="178" fontId="15" fillId="4" borderId="0" xfId="0" applyNumberFormat="1" applyFont="1" applyFill="1" applyBorder="1" applyAlignment="1" applyProtection="1">
      <alignment vertical="center"/>
    </xf>
    <xf numFmtId="178" fontId="15" fillId="4" borderId="0" xfId="0" applyNumberFormat="1" applyFont="1" applyFill="1" applyBorder="1" applyAlignment="1" applyProtection="1">
      <alignment horizontal="center" vertical="center"/>
    </xf>
    <xf numFmtId="178" fontId="15" fillId="4" borderId="0" xfId="0" applyNumberFormat="1" applyFont="1" applyFill="1" applyBorder="1" applyAlignment="1" applyProtection="1">
      <alignment horizontal="left" vertical="center"/>
    </xf>
    <xf numFmtId="0" fontId="30" fillId="0" borderId="1" xfId="0" applyFont="1" applyBorder="1">
      <alignment vertical="center"/>
    </xf>
    <xf numFmtId="0" fontId="32" fillId="5" borderId="0" xfId="0" applyFont="1" applyFill="1" applyBorder="1" applyAlignment="1" applyProtection="1">
      <alignment vertical="center"/>
    </xf>
    <xf numFmtId="0" fontId="41" fillId="5" borderId="0" xfId="0" applyFont="1" applyFill="1" applyAlignment="1" applyProtection="1">
      <alignment horizontal="right" vertical="top"/>
    </xf>
    <xf numFmtId="0" fontId="41" fillId="5" borderId="0" xfId="0" applyFont="1" applyFill="1" applyAlignment="1" applyProtection="1">
      <alignment vertical="top"/>
    </xf>
    <xf numFmtId="0" fontId="42" fillId="5" borderId="0" xfId="0" applyFont="1" applyFill="1" applyAlignment="1" applyProtection="1">
      <alignment vertical="top" wrapText="1"/>
    </xf>
    <xf numFmtId="0" fontId="42" fillId="5" borderId="0" xfId="0" applyFont="1" applyFill="1" applyAlignment="1" applyProtection="1">
      <alignment vertical="top"/>
    </xf>
    <xf numFmtId="0" fontId="0" fillId="0" borderId="1" xfId="0" applyBorder="1" applyAlignment="1">
      <alignment horizontal="center" vertical="center"/>
    </xf>
    <xf numFmtId="0" fontId="42" fillId="5" borderId="27" xfId="0" applyFont="1" applyFill="1" applyBorder="1" applyAlignment="1" applyProtection="1">
      <alignment vertical="top" wrapText="1"/>
    </xf>
    <xf numFmtId="0" fontId="30" fillId="5" borderId="0" xfId="0" applyFont="1" applyFill="1" applyBorder="1">
      <alignment vertical="center"/>
    </xf>
    <xf numFmtId="0" fontId="30" fillId="5" borderId="28" xfId="0" applyFont="1" applyFill="1" applyBorder="1">
      <alignment vertical="center"/>
    </xf>
    <xf numFmtId="0" fontId="0" fillId="0" borderId="0" xfId="0" applyBorder="1" applyAlignment="1">
      <alignment vertical="center" textRotation="255"/>
    </xf>
    <xf numFmtId="0" fontId="11" fillId="0" borderId="0" xfId="0" applyFont="1" applyBorder="1" applyAlignment="1">
      <alignment horizontal="center" vertical="center"/>
    </xf>
    <xf numFmtId="182" fontId="11" fillId="0" borderId="0" xfId="0" applyNumberFormat="1" applyFont="1" applyBorder="1" applyAlignment="1">
      <alignment vertical="center" shrinkToFit="1"/>
    </xf>
    <xf numFmtId="182" fontId="37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" fontId="40" fillId="0" borderId="0" xfId="0" applyNumberFormat="1" applyFont="1" applyBorder="1">
      <alignment vertical="center"/>
    </xf>
    <xf numFmtId="3" fontId="0" fillId="0" borderId="113" xfId="0" applyNumberForma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3" fontId="14" fillId="0" borderId="0" xfId="0" applyNumberFormat="1" applyFont="1">
      <alignment vertical="center"/>
    </xf>
    <xf numFmtId="3" fontId="61" fillId="0" borderId="0" xfId="0" applyNumberFormat="1" applyFont="1" applyBorder="1">
      <alignment vertical="center"/>
    </xf>
    <xf numFmtId="182" fontId="64" fillId="0" borderId="0" xfId="0" applyNumberFormat="1" applyFont="1" applyBorder="1" applyAlignment="1">
      <alignment vertical="center" shrinkToFit="1"/>
    </xf>
    <xf numFmtId="3" fontId="12" fillId="0" borderId="0" xfId="0" applyNumberFormat="1" applyFont="1">
      <alignment vertical="center"/>
    </xf>
    <xf numFmtId="3" fontId="12" fillId="0" borderId="0" xfId="0" applyNumberFormat="1" applyFont="1" applyBorder="1">
      <alignment vertical="center"/>
    </xf>
    <xf numFmtId="182" fontId="17" fillId="0" borderId="0" xfId="0" applyNumberFormat="1" applyFont="1" applyBorder="1" applyAlignment="1">
      <alignment vertical="center" shrinkToFit="1"/>
    </xf>
    <xf numFmtId="3" fontId="62" fillId="0" borderId="0" xfId="0" applyNumberFormat="1" applyFont="1" applyBorder="1">
      <alignment vertical="center"/>
    </xf>
    <xf numFmtId="176" fontId="62" fillId="0" borderId="0" xfId="0" applyNumberFormat="1" applyFont="1" applyBorder="1">
      <alignment vertical="center"/>
    </xf>
    <xf numFmtId="3" fontId="43" fillId="0" borderId="123" xfId="0" applyNumberFormat="1" applyFont="1" applyBorder="1">
      <alignment vertical="center"/>
    </xf>
    <xf numFmtId="3" fontId="43" fillId="0" borderId="124" xfId="0" applyNumberFormat="1" applyFont="1" applyBorder="1">
      <alignment vertical="center"/>
    </xf>
    <xf numFmtId="3" fontId="40" fillId="0" borderId="125" xfId="0" applyNumberFormat="1" applyFont="1" applyBorder="1">
      <alignment vertical="center"/>
    </xf>
    <xf numFmtId="3" fontId="40" fillId="0" borderId="113" xfId="0" applyNumberFormat="1" applyFont="1" applyBorder="1">
      <alignment vertical="center"/>
    </xf>
    <xf numFmtId="3" fontId="40" fillId="0" borderId="126" xfId="0" applyNumberFormat="1" applyFont="1" applyBorder="1">
      <alignment vertical="center"/>
    </xf>
    <xf numFmtId="3" fontId="30" fillId="0" borderId="127" xfId="0" applyNumberFormat="1" applyFont="1" applyBorder="1" applyAlignment="1">
      <alignment horizontal="center" vertical="center"/>
    </xf>
    <xf numFmtId="3" fontId="30" fillId="0" borderId="128" xfId="0" applyNumberFormat="1" applyFont="1" applyBorder="1" applyAlignment="1">
      <alignment horizontal="right" vertical="center"/>
    </xf>
    <xf numFmtId="3" fontId="30" fillId="0" borderId="129" xfId="0" applyNumberFormat="1" applyFont="1" applyBorder="1" applyAlignment="1">
      <alignment horizontal="right" vertical="center"/>
    </xf>
    <xf numFmtId="3" fontId="30" fillId="0" borderId="131" xfId="0" applyNumberFormat="1" applyFont="1" applyBorder="1" applyAlignment="1">
      <alignment horizontal="center" vertical="center"/>
    </xf>
    <xf numFmtId="3" fontId="30" fillId="0" borderId="132" xfId="0" applyNumberFormat="1" applyFont="1" applyBorder="1" applyAlignment="1">
      <alignment horizontal="center" vertical="center"/>
    </xf>
    <xf numFmtId="0" fontId="62" fillId="0" borderId="122" xfId="0" applyFont="1" applyBorder="1">
      <alignment vertical="center"/>
    </xf>
    <xf numFmtId="0" fontId="63" fillId="0" borderId="122" xfId="0" applyFont="1" applyBorder="1" applyAlignment="1">
      <alignment horizontal="center" vertical="center"/>
    </xf>
    <xf numFmtId="182" fontId="62" fillId="0" borderId="122" xfId="0" applyNumberFormat="1" applyFont="1" applyBorder="1" applyAlignment="1">
      <alignment vertical="center" shrinkToFit="1"/>
    </xf>
    <xf numFmtId="38" fontId="10" fillId="0" borderId="133" xfId="1" applyFont="1" applyBorder="1">
      <alignment vertical="center"/>
    </xf>
    <xf numFmtId="38" fontId="10" fillId="0" borderId="134" xfId="1" applyFont="1" applyBorder="1">
      <alignment vertical="center"/>
    </xf>
    <xf numFmtId="183" fontId="37" fillId="0" borderId="73" xfId="0" applyNumberFormat="1" applyFont="1" applyBorder="1" applyAlignment="1">
      <alignment vertical="center" shrinkToFit="1"/>
    </xf>
    <xf numFmtId="183" fontId="37" fillId="0" borderId="85" xfId="0" applyNumberFormat="1" applyFont="1" applyBorder="1" applyAlignment="1">
      <alignment vertical="center" shrinkToFit="1"/>
    </xf>
    <xf numFmtId="183" fontId="37" fillId="0" borderId="88" xfId="0" applyNumberFormat="1" applyFont="1" applyBorder="1" applyAlignment="1">
      <alignment vertical="center" shrinkToFit="1"/>
    </xf>
    <xf numFmtId="0" fontId="40" fillId="0" borderId="34" xfId="0" applyFont="1" applyBorder="1">
      <alignment vertical="center"/>
    </xf>
    <xf numFmtId="0" fontId="0" fillId="0" borderId="4" xfId="0" applyFont="1" applyBorder="1">
      <alignment vertical="center"/>
    </xf>
    <xf numFmtId="178" fontId="28" fillId="4" borderId="0" xfId="0" applyNumberFormat="1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vertical="top" textRotation="255" indent="2"/>
    </xf>
    <xf numFmtId="0" fontId="15" fillId="3" borderId="0" xfId="0" applyFont="1" applyFill="1" applyBorder="1" applyAlignment="1" applyProtection="1">
      <alignment vertical="top" textRotation="255"/>
    </xf>
    <xf numFmtId="0" fontId="0" fillId="0" borderId="0" xfId="0" applyAlignment="1">
      <alignment vertical="top" textRotation="255"/>
    </xf>
    <xf numFmtId="0" fontId="15" fillId="4" borderId="0" xfId="0" applyFont="1" applyFill="1" applyBorder="1" applyAlignment="1" applyProtection="1">
      <alignment vertical="top" textRotation="255"/>
    </xf>
    <xf numFmtId="0" fontId="14" fillId="3" borderId="0" xfId="0" applyFont="1" applyFill="1" applyBorder="1" applyAlignment="1" applyProtection="1">
      <alignment horizontal="right" vertical="center"/>
    </xf>
    <xf numFmtId="0" fontId="0" fillId="0" borderId="42" xfId="0" applyFont="1" applyBorder="1" applyAlignment="1">
      <alignment vertical="center"/>
    </xf>
    <xf numFmtId="0" fontId="14" fillId="4" borderId="0" xfId="0" applyFont="1" applyFill="1" applyBorder="1" applyAlignment="1" applyProtection="1">
      <alignment horizontal="right" vertical="center"/>
    </xf>
    <xf numFmtId="179" fontId="47" fillId="4" borderId="0" xfId="0" applyNumberFormat="1" applyFont="1" applyFill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vertical="center"/>
    </xf>
    <xf numFmtId="0" fontId="46" fillId="0" borderId="39" xfId="0" applyFont="1" applyBorder="1" applyAlignment="1" applyProtection="1">
      <alignment vertical="center"/>
    </xf>
    <xf numFmtId="0" fontId="28" fillId="4" borderId="74" xfId="0" applyFont="1" applyFill="1" applyBorder="1" applyAlignment="1" applyProtection="1">
      <alignment vertical="center" textRotation="255"/>
    </xf>
    <xf numFmtId="0" fontId="28" fillId="4" borderId="75" xfId="0" applyFont="1" applyFill="1" applyBorder="1" applyAlignment="1" applyProtection="1">
      <alignment vertical="center" textRotation="255"/>
    </xf>
    <xf numFmtId="0" fontId="15" fillId="4" borderId="58" xfId="0" applyFont="1" applyFill="1" applyBorder="1" applyAlignment="1" applyProtection="1">
      <alignment horizontal="center" vertical="center"/>
    </xf>
    <xf numFmtId="0" fontId="15" fillId="4" borderId="58" xfId="0" applyFont="1" applyFill="1" applyBorder="1" applyAlignment="1" applyProtection="1">
      <alignment vertical="center"/>
    </xf>
    <xf numFmtId="0" fontId="15" fillId="3" borderId="59" xfId="0" applyFont="1" applyFill="1" applyBorder="1" applyAlignment="1" applyProtection="1">
      <alignment vertical="center"/>
    </xf>
    <xf numFmtId="0" fontId="0" fillId="0" borderId="59" xfId="0" applyBorder="1" applyAlignment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4" fillId="4" borderId="42" xfId="0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 applyProtection="1">
      <alignment horizontal="center" vertical="center"/>
    </xf>
    <xf numFmtId="0" fontId="28" fillId="4" borderId="99" xfId="0" applyFont="1" applyFill="1" applyBorder="1" applyAlignment="1" applyProtection="1">
      <alignment vertical="top" textRotation="255" indent="1"/>
    </xf>
    <xf numFmtId="0" fontId="0" fillId="0" borderId="99" xfId="0" applyBorder="1" applyAlignment="1">
      <alignment vertical="top" textRotation="255" indent="1"/>
    </xf>
    <xf numFmtId="0" fontId="19" fillId="4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3" fillId="4" borderId="12" xfId="0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center" vertical="center"/>
    </xf>
    <xf numFmtId="181" fontId="15" fillId="3" borderId="59" xfId="0" applyNumberFormat="1" applyFont="1" applyFill="1" applyBorder="1" applyAlignment="1" applyProtection="1">
      <alignment vertical="center"/>
    </xf>
    <xf numFmtId="0" fontId="28" fillId="4" borderId="58" xfId="0" applyFont="1" applyFill="1" applyBorder="1" applyAlignment="1" applyProtection="1">
      <alignment horizontal="center" vertical="center"/>
    </xf>
    <xf numFmtId="0" fontId="28" fillId="4" borderId="58" xfId="0" applyFont="1" applyFill="1" applyBorder="1" applyAlignment="1" applyProtection="1">
      <alignment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178" fontId="15" fillId="4" borderId="0" xfId="0" applyNumberFormat="1" applyFont="1" applyFill="1" applyBorder="1" applyAlignment="1" applyProtection="1">
      <alignment vertical="center"/>
    </xf>
    <xf numFmtId="178" fontId="28" fillId="3" borderId="59" xfId="0" applyNumberFormat="1" applyFont="1" applyFill="1" applyBorder="1" applyAlignment="1" applyProtection="1">
      <alignment vertical="center"/>
    </xf>
    <xf numFmtId="0" fontId="28" fillId="3" borderId="99" xfId="0" applyFont="1" applyFill="1" applyBorder="1" applyAlignment="1" applyProtection="1">
      <alignment vertical="top" textRotation="255" indent="1"/>
    </xf>
    <xf numFmtId="0" fontId="28" fillId="0" borderId="99" xfId="0" applyFont="1" applyBorder="1" applyAlignment="1" applyProtection="1">
      <alignment vertical="top" textRotation="255" indent="1"/>
    </xf>
    <xf numFmtId="0" fontId="21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21" fillId="4" borderId="0" xfId="0" applyFont="1" applyFill="1" applyBorder="1" applyAlignment="1" applyProtection="1">
      <alignment horizontal="left" vertical="center"/>
    </xf>
    <xf numFmtId="0" fontId="53" fillId="10" borderId="0" xfId="0" applyFont="1" applyFill="1" applyAlignment="1" applyProtection="1">
      <alignment horizontal="left" vertical="center"/>
    </xf>
    <xf numFmtId="0" fontId="48" fillId="4" borderId="0" xfId="0" applyFont="1" applyFill="1" applyBorder="1" applyAlignment="1" applyProtection="1">
      <alignment horizontal="center" vertical="center"/>
    </xf>
    <xf numFmtId="0" fontId="54" fillId="4" borderId="0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horizontal="center" vertical="center"/>
    </xf>
    <xf numFmtId="0" fontId="55" fillId="3" borderId="0" xfId="0" applyFont="1" applyFill="1" applyBorder="1" applyAlignment="1" applyProtection="1">
      <alignment horizontal="center" vertical="center"/>
    </xf>
    <xf numFmtId="0" fontId="51" fillId="3" borderId="0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179" fontId="47" fillId="3" borderId="0" xfId="0" applyNumberFormat="1" applyFont="1" applyFill="1" applyBorder="1" applyAlignment="1" applyProtection="1">
      <alignment horizontal="right" vertical="center"/>
    </xf>
    <xf numFmtId="0" fontId="19" fillId="3" borderId="0" xfId="0" applyFont="1" applyFill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33" fillId="3" borderId="12" xfId="0" applyFont="1" applyFill="1" applyBorder="1" applyAlignment="1" applyProtection="1">
      <alignment horizontal="center" vertical="center"/>
    </xf>
    <xf numFmtId="0" fontId="33" fillId="3" borderId="0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horizontal="center" vertical="center"/>
    </xf>
    <xf numFmtId="0" fontId="15" fillId="3" borderId="58" xfId="0" applyFont="1" applyFill="1" applyBorder="1" applyAlignment="1" applyProtection="1">
      <alignment vertical="center"/>
    </xf>
    <xf numFmtId="0" fontId="28" fillId="3" borderId="74" xfId="0" applyFont="1" applyFill="1" applyBorder="1" applyAlignment="1" applyProtection="1">
      <alignment vertical="center" textRotation="255"/>
    </xf>
    <xf numFmtId="0" fontId="28" fillId="3" borderId="75" xfId="0" applyFont="1" applyFill="1" applyBorder="1" applyAlignment="1" applyProtection="1">
      <alignment vertical="center" textRotation="255"/>
    </xf>
    <xf numFmtId="0" fontId="15" fillId="3" borderId="99" xfId="0" applyFont="1" applyFill="1" applyBorder="1" applyAlignment="1" applyProtection="1">
      <alignment vertical="center" textRotation="255"/>
    </xf>
    <xf numFmtId="0" fontId="28" fillId="3" borderId="58" xfId="0" applyFont="1" applyFill="1" applyBorder="1" applyAlignment="1" applyProtection="1">
      <alignment horizontal="center" vertical="center"/>
    </xf>
    <xf numFmtId="0" fontId="0" fillId="0" borderId="42" xfId="0" applyFont="1" applyBorder="1" applyAlignment="1">
      <alignment horizontal="right" vertical="center"/>
    </xf>
    <xf numFmtId="0" fontId="28" fillId="3" borderId="58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0" fontId="15" fillId="4" borderId="56" xfId="0" applyFont="1" applyFill="1" applyBorder="1" applyAlignment="1" applyProtection="1">
      <alignment vertical="center"/>
    </xf>
    <xf numFmtId="178" fontId="28" fillId="3" borderId="0" xfId="0" applyNumberFormat="1" applyFont="1" applyFill="1" applyBorder="1" applyAlignment="1" applyProtection="1">
      <alignment vertical="center"/>
    </xf>
    <xf numFmtId="0" fontId="14" fillId="3" borderId="42" xfId="0" applyFont="1" applyFill="1" applyBorder="1" applyAlignment="1" applyProtection="1">
      <alignment horizontal="right" vertical="center"/>
    </xf>
    <xf numFmtId="0" fontId="28" fillId="4" borderId="99" xfId="0" applyFont="1" applyFill="1" applyBorder="1" applyAlignment="1" applyProtection="1">
      <alignment horizontal="center" vertical="top" textRotation="255" indent="1"/>
    </xf>
    <xf numFmtId="0" fontId="0" fillId="0" borderId="99" xfId="0" applyBorder="1" applyAlignment="1">
      <alignment horizontal="center" vertical="top" textRotation="255" indent="1"/>
    </xf>
    <xf numFmtId="0" fontId="52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15" fillId="4" borderId="74" xfId="0" applyFont="1" applyFill="1" applyBorder="1" applyAlignment="1" applyProtection="1">
      <alignment vertical="center" textRotation="255"/>
    </xf>
    <xf numFmtId="0" fontId="15" fillId="4" borderId="75" xfId="0" applyFont="1" applyFill="1" applyBorder="1" applyAlignment="1" applyProtection="1">
      <alignment vertical="center" textRotation="255"/>
    </xf>
    <xf numFmtId="0" fontId="28" fillId="3" borderId="0" xfId="0" applyFont="1" applyFill="1" applyBorder="1" applyAlignment="1" applyProtection="1">
      <alignment vertical="top" textRotation="255"/>
    </xf>
    <xf numFmtId="0" fontId="45" fillId="3" borderId="0" xfId="0" applyFont="1" applyFill="1" applyBorder="1" applyAlignment="1" applyProtection="1">
      <alignment horizontal="center" vertical="center"/>
    </xf>
    <xf numFmtId="0" fontId="46" fillId="3" borderId="0" xfId="0" applyFont="1" applyFill="1" applyBorder="1" applyAlignment="1" applyProtection="1">
      <alignment horizontal="center" vertical="center"/>
    </xf>
    <xf numFmtId="0" fontId="46" fillId="3" borderId="39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46" fillId="4" borderId="39" xfId="0" applyFont="1" applyFill="1" applyBorder="1" applyAlignment="1" applyProtection="1">
      <alignment horizontal="center" vertical="center"/>
    </xf>
    <xf numFmtId="179" fontId="47" fillId="4" borderId="0" xfId="0" applyNumberFormat="1" applyFont="1" applyFill="1" applyBorder="1" applyAlignment="1" applyProtection="1">
      <alignment horizontal="right" vertical="center" shrinkToFit="1"/>
    </xf>
    <xf numFmtId="0" fontId="46" fillId="0" borderId="0" xfId="0" applyFont="1" applyBorder="1" applyAlignment="1" applyProtection="1">
      <alignment vertical="center" shrinkToFit="1"/>
    </xf>
    <xf numFmtId="0" fontId="46" fillId="0" borderId="39" xfId="0" applyFont="1" applyBorder="1" applyAlignment="1" applyProtection="1">
      <alignment vertical="center" shrinkToFit="1"/>
    </xf>
    <xf numFmtId="0" fontId="49" fillId="0" borderId="0" xfId="0" applyFont="1" applyBorder="1" applyAlignment="1" applyProtection="1">
      <alignment horizontal="center" vertical="center"/>
    </xf>
    <xf numFmtId="3" fontId="43" fillId="8" borderId="41" xfId="0" applyNumberFormat="1" applyFont="1" applyFill="1" applyBorder="1" applyAlignment="1">
      <alignment vertical="center" wrapText="1"/>
    </xf>
    <xf numFmtId="0" fontId="43" fillId="8" borderId="0" xfId="0" applyFont="1" applyFill="1" applyAlignment="1">
      <alignment vertical="center" wrapText="1"/>
    </xf>
    <xf numFmtId="0" fontId="43" fillId="8" borderId="42" xfId="0" applyFont="1" applyFill="1" applyBorder="1" applyAlignment="1">
      <alignment vertical="center" wrapText="1"/>
    </xf>
    <xf numFmtId="0" fontId="43" fillId="8" borderId="41" xfId="0" applyFont="1" applyFill="1" applyBorder="1" applyAlignment="1">
      <alignment vertical="center" wrapText="1"/>
    </xf>
    <xf numFmtId="3" fontId="43" fillId="5" borderId="0" xfId="0" applyNumberFormat="1" applyFont="1" applyFill="1" applyBorder="1" applyAlignment="1">
      <alignment horizontal="left" vertical="center" wrapText="1"/>
    </xf>
    <xf numFmtId="3" fontId="0" fillId="5" borderId="41" xfId="0" applyNumberFormat="1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left" vertical="center" wrapText="1"/>
    </xf>
    <xf numFmtId="3" fontId="0" fillId="5" borderId="42" xfId="0" applyNumberFormat="1" applyFont="1" applyFill="1" applyBorder="1" applyAlignment="1">
      <alignment horizontal="left" vertical="center" wrapText="1"/>
    </xf>
    <xf numFmtId="0" fontId="65" fillId="5" borderId="0" xfId="0" applyFont="1" applyFill="1" applyBorder="1" applyAlignment="1" applyProtection="1">
      <alignment horizontal="center" wrapText="1" shrinkToFit="1"/>
    </xf>
    <xf numFmtId="0" fontId="65" fillId="5" borderId="39" xfId="0" applyFont="1" applyFill="1" applyBorder="1" applyAlignment="1" applyProtection="1">
      <alignment horizontal="center" wrapText="1" shrinkToFit="1"/>
    </xf>
    <xf numFmtId="5" fontId="57" fillId="5" borderId="0" xfId="0" applyNumberFormat="1" applyFont="1" applyFill="1" applyBorder="1" applyAlignment="1" applyProtection="1">
      <alignment horizontal="right"/>
    </xf>
    <xf numFmtId="5" fontId="57" fillId="5" borderId="39" xfId="0" applyNumberFormat="1" applyFont="1" applyFill="1" applyBorder="1" applyAlignment="1" applyProtection="1">
      <alignment horizontal="right"/>
    </xf>
    <xf numFmtId="3" fontId="0" fillId="5" borderId="38" xfId="0" applyNumberFormat="1" applyFont="1" applyFill="1" applyBorder="1" applyAlignment="1">
      <alignment horizontal="left" vertical="center" wrapText="1"/>
    </xf>
    <xf numFmtId="3" fontId="0" fillId="5" borderId="39" xfId="0" applyNumberFormat="1" applyFont="1" applyFill="1" applyBorder="1" applyAlignment="1">
      <alignment horizontal="left" vertical="center" wrapText="1"/>
    </xf>
    <xf numFmtId="3" fontId="0" fillId="5" borderId="40" xfId="0" applyNumberFormat="1" applyFont="1" applyFill="1" applyBorder="1" applyAlignment="1">
      <alignment horizontal="left" vertical="center" wrapText="1"/>
    </xf>
    <xf numFmtId="3" fontId="0" fillId="5" borderId="47" xfId="0" applyNumberFormat="1" applyFont="1" applyFill="1" applyBorder="1" applyAlignment="1">
      <alignment horizontal="center" vertical="center" wrapText="1"/>
    </xf>
    <xf numFmtId="3" fontId="0" fillId="5" borderId="48" xfId="0" applyNumberFormat="1" applyFont="1" applyFill="1" applyBorder="1" applyAlignment="1">
      <alignment horizontal="center" vertical="center" wrapText="1"/>
    </xf>
    <xf numFmtId="3" fontId="0" fillId="5" borderId="49" xfId="0" applyNumberFormat="1" applyFont="1" applyFill="1" applyBorder="1" applyAlignment="1">
      <alignment horizontal="center" vertical="center" wrapText="1"/>
    </xf>
    <xf numFmtId="3" fontId="0" fillId="5" borderId="26" xfId="0" applyNumberFormat="1" applyFont="1" applyFill="1" applyBorder="1" applyAlignment="1">
      <alignment horizontal="center" vertical="center" wrapText="1"/>
    </xf>
    <xf numFmtId="3" fontId="0" fillId="5" borderId="50" xfId="0" applyNumberFormat="1" applyFont="1" applyFill="1" applyBorder="1" applyAlignment="1">
      <alignment horizontal="center" vertical="center"/>
    </xf>
    <xf numFmtId="3" fontId="0" fillId="5" borderId="6" xfId="0" applyNumberFormat="1" applyFont="1" applyFill="1" applyBorder="1" applyAlignment="1">
      <alignment horizontal="center" vertical="center"/>
    </xf>
    <xf numFmtId="3" fontId="0" fillId="5" borderId="51" xfId="0" applyNumberFormat="1" applyFont="1" applyFill="1" applyBorder="1" applyAlignment="1">
      <alignment horizontal="center" vertical="center" shrinkToFit="1"/>
    </xf>
    <xf numFmtId="3" fontId="0" fillId="5" borderId="52" xfId="0" applyNumberFormat="1" applyFont="1" applyFill="1" applyBorder="1" applyAlignment="1">
      <alignment horizontal="center" vertical="center" shrinkToFit="1"/>
    </xf>
    <xf numFmtId="3" fontId="0" fillId="5" borderId="53" xfId="0" applyNumberFormat="1" applyFont="1" applyFill="1" applyBorder="1" applyAlignment="1">
      <alignment horizontal="center" vertical="center" shrinkToFit="1"/>
    </xf>
    <xf numFmtId="3" fontId="0" fillId="5" borderId="44" xfId="0" applyNumberFormat="1" applyFont="1" applyFill="1" applyBorder="1" applyAlignment="1">
      <alignment horizontal="center" vertical="center"/>
    </xf>
    <xf numFmtId="3" fontId="0" fillId="5" borderId="54" xfId="0" applyNumberFormat="1" applyFont="1" applyFill="1" applyBorder="1" applyAlignment="1">
      <alignment horizontal="center" vertical="center"/>
    </xf>
    <xf numFmtId="3" fontId="0" fillId="5" borderId="45" xfId="0" applyNumberFormat="1" applyFont="1" applyFill="1" applyBorder="1" applyAlignment="1">
      <alignment horizontal="center" vertical="center"/>
    </xf>
    <xf numFmtId="3" fontId="0" fillId="5" borderId="46" xfId="0" applyNumberFormat="1" applyFont="1" applyFill="1" applyBorder="1" applyAlignment="1">
      <alignment horizontal="left" vertical="center"/>
    </xf>
    <xf numFmtId="3" fontId="0" fillId="5" borderId="8" xfId="0" applyNumberFormat="1" applyFont="1" applyFill="1" applyBorder="1" applyAlignment="1">
      <alignment horizontal="left" vertical="center"/>
    </xf>
    <xf numFmtId="3" fontId="0" fillId="5" borderId="55" xfId="0" applyNumberFormat="1" applyFont="1" applyFill="1" applyBorder="1" applyAlignment="1">
      <alignment horizontal="left" vertical="center"/>
    </xf>
    <xf numFmtId="0" fontId="42" fillId="5" borderId="0" xfId="0" applyFont="1" applyFill="1" applyAlignment="1" applyProtection="1">
      <alignment horizontal="left" vertical="top" wrapText="1"/>
    </xf>
    <xf numFmtId="0" fontId="34" fillId="5" borderId="0" xfId="0" applyFont="1" applyFill="1" applyAlignment="1" applyProtection="1">
      <alignment vertical="center"/>
    </xf>
    <xf numFmtId="0" fontId="34" fillId="0" borderId="0" xfId="0" applyFont="1" applyAlignment="1">
      <alignment vertical="center"/>
    </xf>
    <xf numFmtId="0" fontId="32" fillId="5" borderId="21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34" fillId="5" borderId="0" xfId="0" applyFont="1" applyFill="1" applyAlignment="1" applyProtection="1">
      <alignment horizontal="left" vertical="center"/>
    </xf>
    <xf numFmtId="0" fontId="32" fillId="5" borderId="42" xfId="0" applyFont="1" applyFill="1" applyBorder="1" applyAlignment="1" applyProtection="1">
      <alignment horizontal="center" vertical="center"/>
    </xf>
    <xf numFmtId="0" fontId="32" fillId="5" borderId="0" xfId="0" applyFont="1" applyFill="1" applyAlignment="1" applyProtection="1">
      <alignment horizontal="right" vertical="center"/>
    </xf>
    <xf numFmtId="0" fontId="41" fillId="5" borderId="0" xfId="0" applyFont="1" applyFill="1" applyAlignment="1" applyProtection="1">
      <alignment horizontal="right" vertical="top"/>
    </xf>
    <xf numFmtId="0" fontId="42" fillId="5" borderId="0" xfId="0" applyFont="1" applyFill="1" applyAlignment="1" applyProtection="1">
      <alignment vertical="top" wrapText="1"/>
    </xf>
    <xf numFmtId="0" fontId="56" fillId="5" borderId="0" xfId="0" applyFont="1" applyFill="1" applyBorder="1" applyAlignment="1" applyProtection="1">
      <alignment horizontal="center" wrapText="1"/>
    </xf>
    <xf numFmtId="0" fontId="56" fillId="5" borderId="39" xfId="0" applyFont="1" applyFill="1" applyBorder="1" applyAlignment="1" applyProtection="1">
      <alignment horizontal="center" wrapText="1"/>
    </xf>
    <xf numFmtId="5" fontId="57" fillId="5" borderId="0" xfId="0" applyNumberFormat="1" applyFont="1" applyFill="1" applyBorder="1" applyAlignment="1" applyProtection="1">
      <alignment vertical="center"/>
    </xf>
    <xf numFmtId="5" fontId="57" fillId="5" borderId="39" xfId="0" applyNumberFormat="1" applyFont="1" applyFill="1" applyBorder="1" applyAlignment="1" applyProtection="1">
      <alignment vertical="center"/>
    </xf>
    <xf numFmtId="0" fontId="35" fillId="0" borderId="113" xfId="0" applyFont="1" applyBorder="1" applyAlignment="1">
      <alignment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3" fontId="0" fillId="0" borderId="107" xfId="0" applyNumberFormat="1" applyBorder="1" applyAlignment="1">
      <alignment horizontal="center" vertical="center"/>
    </xf>
    <xf numFmtId="3" fontId="0" fillId="0" borderId="119" xfId="0" applyNumberFormat="1" applyBorder="1" applyAlignment="1">
      <alignment horizontal="center" vertical="center"/>
    </xf>
    <xf numFmtId="3" fontId="66" fillId="0" borderId="105" xfId="0" applyNumberFormat="1" applyFont="1" applyBorder="1" applyAlignment="1">
      <alignment horizontal="center" vertical="center" wrapText="1"/>
    </xf>
    <xf numFmtId="3" fontId="66" fillId="0" borderId="106" xfId="0" applyNumberFormat="1" applyFont="1" applyBorder="1" applyAlignment="1">
      <alignment horizontal="center" vertical="center" wrapText="1"/>
    </xf>
    <xf numFmtId="3" fontId="0" fillId="0" borderId="107" xfId="0" applyNumberFormat="1" applyBorder="1" applyAlignment="1">
      <alignment horizontal="center" vertical="center" wrapText="1"/>
    </xf>
    <xf numFmtId="3" fontId="0" fillId="0" borderId="119" xfId="0" applyNumberFormat="1" applyBorder="1" applyAlignment="1">
      <alignment horizontal="center" vertical="center" wrapText="1"/>
    </xf>
    <xf numFmtId="3" fontId="0" fillId="0" borderId="117" xfId="0" applyNumberFormat="1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3" fontId="43" fillId="0" borderId="114" xfId="0" applyNumberFormat="1" applyFont="1" applyBorder="1" applyAlignment="1">
      <alignment horizontal="center" vertical="center"/>
    </xf>
    <xf numFmtId="3" fontId="43" fillId="0" borderId="130" xfId="0" applyNumberFormat="1" applyFont="1" applyBorder="1" applyAlignment="1">
      <alignment horizontal="center" vertical="center"/>
    </xf>
    <xf numFmtId="3" fontId="40" fillId="0" borderId="115" xfId="0" applyNumberFormat="1" applyFont="1" applyBorder="1" applyAlignment="1">
      <alignment horizontal="center" vertical="center" shrinkToFit="1"/>
    </xf>
    <xf numFmtId="3" fontId="40" fillId="0" borderId="116" xfId="0" applyNumberFormat="1" applyFont="1" applyBorder="1" applyAlignment="1">
      <alignment horizontal="center" vertical="center" shrinkToFit="1"/>
    </xf>
    <xf numFmtId="3" fontId="43" fillId="0" borderId="101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3" fontId="43" fillId="0" borderId="124" xfId="0" applyNumberFormat="1" applyFont="1" applyBorder="1" applyAlignment="1">
      <alignment vertical="center" wrapText="1"/>
    </xf>
    <xf numFmtId="0" fontId="0" fillId="0" borderId="110" xfId="0" applyBorder="1" applyAlignment="1">
      <alignment vertical="center" textRotation="255"/>
    </xf>
    <xf numFmtId="0" fontId="0" fillId="0" borderId="111" xfId="0" applyBorder="1" applyAlignment="1">
      <alignment vertical="center" textRotation="255"/>
    </xf>
    <xf numFmtId="0" fontId="0" fillId="0" borderId="112" xfId="0" applyBorder="1" applyAlignment="1">
      <alignment vertical="center" textRotation="255"/>
    </xf>
    <xf numFmtId="0" fontId="60" fillId="0" borderId="0" xfId="0" applyFont="1" applyBorder="1" applyAlignment="1">
      <alignment horizontal="left" vertical="center"/>
    </xf>
    <xf numFmtId="0" fontId="0" fillId="0" borderId="100" xfId="0" applyBorder="1" applyAlignment="1">
      <alignment vertical="center" textRotation="255"/>
    </xf>
    <xf numFmtId="0" fontId="0" fillId="0" borderId="101" xfId="0" applyBorder="1" applyAlignment="1">
      <alignment vertical="center" textRotation="255"/>
    </xf>
    <xf numFmtId="0" fontId="0" fillId="0" borderId="102" xfId="0" applyBorder="1" applyAlignment="1">
      <alignment vertical="center" textRotation="255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" fontId="0" fillId="0" borderId="105" xfId="0" applyNumberFormat="1" applyBorder="1" applyAlignment="1">
      <alignment horizontal="center" vertical="center"/>
    </xf>
    <xf numFmtId="3" fontId="0" fillId="0" borderId="10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0" fillId="0" borderId="44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168089</xdr:colOff>
      <xdr:row>0</xdr:row>
      <xdr:rowOff>33618</xdr:rowOff>
    </xdr:from>
    <xdr:to>
      <xdr:col>21</xdr:col>
      <xdr:colOff>941294</xdr:colOff>
      <xdr:row>0</xdr:row>
      <xdr:rowOff>392206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01118" y="33618"/>
          <a:ext cx="4762500" cy="3585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マクロが正常に動作しない場合は、</a:t>
          </a:r>
          <a:r>
            <a:rPr kumimoji="1" lang="en-US" altLang="ja-JP" sz="900" b="1">
              <a:solidFill>
                <a:srgbClr val="FF0000"/>
              </a:solidFill>
            </a:rPr>
            <a:t>EXCEL</a:t>
          </a:r>
          <a:r>
            <a:rPr kumimoji="1" lang="ja-JP" altLang="en-US" sz="900" b="1">
              <a:solidFill>
                <a:srgbClr val="FF0000"/>
              </a:solidFill>
            </a:rPr>
            <a:t>のセキュリティレベルを下げて下さい。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336550</xdr:colOff>
          <xdr:row>0</xdr:row>
          <xdr:rowOff>76200</xdr:rowOff>
        </xdr:from>
        <xdr:to>
          <xdr:col>8</xdr:col>
          <xdr:colOff>190500</xdr:colOff>
          <xdr:row>0</xdr:row>
          <xdr:rowOff>342900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一般用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241300</xdr:colOff>
          <xdr:row>0</xdr:row>
          <xdr:rowOff>76200</xdr:rowOff>
        </xdr:from>
        <xdr:to>
          <xdr:col>9</xdr:col>
          <xdr:colOff>698500</xdr:colOff>
          <xdr:row>0</xdr:row>
          <xdr:rowOff>342900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集合家事用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736600</xdr:colOff>
          <xdr:row>0</xdr:row>
          <xdr:rowOff>76200</xdr:rowOff>
        </xdr:from>
        <xdr:to>
          <xdr:col>10</xdr:col>
          <xdr:colOff>742950</xdr:colOff>
          <xdr:row>0</xdr:row>
          <xdr:rowOff>342900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公衆浴場用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793750</xdr:colOff>
          <xdr:row>0</xdr:row>
          <xdr:rowOff>76200</xdr:rowOff>
        </xdr:from>
        <xdr:to>
          <xdr:col>11</xdr:col>
          <xdr:colOff>95250</xdr:colOff>
          <xdr:row>0</xdr:row>
          <xdr:rowOff>342900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特殊用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v001\water\&#12362;&#23458;&#27096;&#31379;&#21475;&#35506;\&#32102;&#27700;&#20418;\&#26087;&#26009;&#37329;&#25285;&#24403;\&#26009;&#37329;&#25913;&#23450;\23&#24180;&#24230;&#27700;&#36947;&#26009;&#37329;&#25913;&#23450;\sinnryoukinnkeisanh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料金計算表"/>
      <sheetName val="市納金一覧"/>
      <sheetName val="市納金計算表"/>
      <sheetName val="dat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なし</v>
          </cell>
          <cell r="F3" t="str">
            <v>あり</v>
          </cell>
          <cell r="G3">
            <v>-50000</v>
          </cell>
        </row>
        <row r="4">
          <cell r="A4">
            <v>13</v>
          </cell>
          <cell r="C4">
            <v>13</v>
          </cell>
          <cell r="D4">
            <v>129000</v>
          </cell>
          <cell r="F4" t="str">
            <v>なし</v>
          </cell>
          <cell r="G4">
            <v>0</v>
          </cell>
          <cell r="I4" t="str">
            <v>なし</v>
          </cell>
          <cell r="J4">
            <v>0</v>
          </cell>
        </row>
        <row r="5">
          <cell r="A5">
            <v>20</v>
          </cell>
          <cell r="C5">
            <v>20</v>
          </cell>
          <cell r="D5">
            <v>150000</v>
          </cell>
          <cell r="I5">
            <v>13</v>
          </cell>
          <cell r="J5">
            <v>63000</v>
          </cell>
        </row>
        <row r="6">
          <cell r="A6">
            <v>25</v>
          </cell>
          <cell r="C6">
            <v>25</v>
          </cell>
          <cell r="D6">
            <v>191000</v>
          </cell>
          <cell r="I6">
            <v>20</v>
          </cell>
          <cell r="J6">
            <v>110250</v>
          </cell>
        </row>
        <row r="7">
          <cell r="A7">
            <v>30</v>
          </cell>
          <cell r="C7">
            <v>40</v>
          </cell>
          <cell r="D7">
            <v>368000</v>
          </cell>
          <cell r="I7">
            <v>25</v>
          </cell>
          <cell r="J7">
            <v>189000</v>
          </cell>
        </row>
        <row r="8">
          <cell r="A8">
            <v>40</v>
          </cell>
          <cell r="C8">
            <v>50</v>
          </cell>
          <cell r="D8">
            <v>586000</v>
          </cell>
          <cell r="F8" t="str">
            <v>あり</v>
          </cell>
          <cell r="G8">
            <v>-84000</v>
          </cell>
          <cell r="I8">
            <v>30</v>
          </cell>
          <cell r="J8">
            <v>365620</v>
          </cell>
        </row>
        <row r="9">
          <cell r="A9">
            <v>50</v>
          </cell>
          <cell r="C9">
            <v>75</v>
          </cell>
          <cell r="D9">
            <v>1132000</v>
          </cell>
          <cell r="F9" t="str">
            <v>なし</v>
          </cell>
          <cell r="G9">
            <v>0</v>
          </cell>
          <cell r="I9">
            <v>40</v>
          </cell>
          <cell r="J9">
            <v>787500</v>
          </cell>
        </row>
        <row r="10">
          <cell r="A10">
            <v>75</v>
          </cell>
          <cell r="C10">
            <v>100</v>
          </cell>
          <cell r="D10">
            <v>1924000</v>
          </cell>
          <cell r="I10">
            <v>50</v>
          </cell>
          <cell r="J10">
            <v>2362500</v>
          </cell>
        </row>
        <row r="11">
          <cell r="A11">
            <v>100</v>
          </cell>
          <cell r="C11">
            <v>150</v>
          </cell>
          <cell r="D11">
            <v>3270000</v>
          </cell>
          <cell r="I11">
            <v>75</v>
          </cell>
          <cell r="J11">
            <v>4725000</v>
          </cell>
        </row>
        <row r="12">
          <cell r="A12">
            <v>150</v>
          </cell>
          <cell r="C12">
            <v>200</v>
          </cell>
          <cell r="D12">
            <v>5559000</v>
          </cell>
          <cell r="F12" t="str">
            <v>40以下</v>
          </cell>
          <cell r="I12">
            <v>100</v>
          </cell>
          <cell r="J12">
            <v>9450000</v>
          </cell>
        </row>
        <row r="13">
          <cell r="F13" t="str">
            <v>50以上</v>
          </cell>
          <cell r="I13">
            <v>150</v>
          </cell>
          <cell r="J13">
            <v>18900000</v>
          </cell>
        </row>
        <row r="14">
          <cell r="I14">
            <v>200</v>
          </cell>
          <cell r="J14">
            <v>37800000</v>
          </cell>
        </row>
        <row r="16">
          <cell r="A16">
            <v>13</v>
          </cell>
          <cell r="C16">
            <v>13</v>
          </cell>
          <cell r="D16">
            <v>232000</v>
          </cell>
        </row>
        <row r="17">
          <cell r="A17">
            <v>20</v>
          </cell>
          <cell r="C17">
            <v>20</v>
          </cell>
          <cell r="D17">
            <v>252000</v>
          </cell>
        </row>
        <row r="18">
          <cell r="A18">
            <v>25</v>
          </cell>
          <cell r="C18">
            <v>25</v>
          </cell>
          <cell r="D18">
            <v>300000</v>
          </cell>
          <cell r="I18">
            <v>13</v>
          </cell>
          <cell r="J18">
            <v>910</v>
          </cell>
        </row>
        <row r="19">
          <cell r="A19">
            <v>40</v>
          </cell>
          <cell r="C19">
            <v>40</v>
          </cell>
          <cell r="D19">
            <v>641000</v>
          </cell>
          <cell r="I19">
            <v>20</v>
          </cell>
          <cell r="J19">
            <v>1120</v>
          </cell>
        </row>
        <row r="20">
          <cell r="A20">
            <v>50</v>
          </cell>
          <cell r="C20">
            <v>50</v>
          </cell>
          <cell r="D20">
            <v>859000</v>
          </cell>
          <cell r="I20">
            <v>25</v>
          </cell>
          <cell r="J20">
            <v>2400</v>
          </cell>
        </row>
        <row r="21">
          <cell r="A21">
            <v>75</v>
          </cell>
          <cell r="C21">
            <v>75</v>
          </cell>
          <cell r="D21">
            <v>1460000</v>
          </cell>
          <cell r="I21">
            <v>30</v>
          </cell>
          <cell r="J21">
            <v>4300</v>
          </cell>
        </row>
        <row r="22">
          <cell r="A22">
            <v>100</v>
          </cell>
          <cell r="C22">
            <v>100</v>
          </cell>
          <cell r="D22">
            <v>2579000</v>
          </cell>
          <cell r="I22">
            <v>40</v>
          </cell>
          <cell r="J22">
            <v>10000</v>
          </cell>
        </row>
        <row r="23">
          <cell r="A23">
            <v>150</v>
          </cell>
          <cell r="C23">
            <v>150</v>
          </cell>
          <cell r="D23">
            <v>4384000</v>
          </cell>
          <cell r="I23">
            <v>50</v>
          </cell>
          <cell r="J23">
            <v>45000</v>
          </cell>
        </row>
        <row r="24">
          <cell r="A24">
            <v>200</v>
          </cell>
          <cell r="C24">
            <v>200</v>
          </cell>
          <cell r="D24">
            <v>7452000</v>
          </cell>
          <cell r="I24">
            <v>75</v>
          </cell>
          <cell r="J24">
            <v>95000</v>
          </cell>
        </row>
        <row r="25">
          <cell r="I25">
            <v>100</v>
          </cell>
          <cell r="J25">
            <v>200000</v>
          </cell>
        </row>
        <row r="26">
          <cell r="I26">
            <v>150</v>
          </cell>
          <cell r="J26">
            <v>400000</v>
          </cell>
        </row>
        <row r="29">
          <cell r="A29" t="str">
            <v>砂利道</v>
          </cell>
        </row>
        <row r="30">
          <cell r="A30" t="str">
            <v>舗装道</v>
          </cell>
        </row>
        <row r="32">
          <cell r="I32" t="str">
            <v>40以下</v>
          </cell>
          <cell r="J32">
            <v>6900</v>
          </cell>
        </row>
        <row r="33">
          <cell r="I33" t="str">
            <v>50以上</v>
          </cell>
          <cell r="J33">
            <v>30000</v>
          </cell>
        </row>
        <row r="34">
          <cell r="A34" t="str">
            <v>なし</v>
          </cell>
        </row>
        <row r="35">
          <cell r="A35">
            <v>13</v>
          </cell>
        </row>
        <row r="36">
          <cell r="A36">
            <v>20</v>
          </cell>
        </row>
        <row r="37">
          <cell r="A37">
            <v>25</v>
          </cell>
        </row>
        <row r="38">
          <cell r="A38">
            <v>30</v>
          </cell>
        </row>
        <row r="39">
          <cell r="A39">
            <v>40</v>
          </cell>
        </row>
        <row r="40">
          <cell r="A40">
            <v>50</v>
          </cell>
        </row>
        <row r="41">
          <cell r="A41">
            <v>75</v>
          </cell>
        </row>
        <row r="42">
          <cell r="A42">
            <v>100</v>
          </cell>
        </row>
        <row r="43">
          <cell r="A43">
            <v>150</v>
          </cell>
        </row>
        <row r="44">
          <cell r="A44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53"/>
  <sheetViews>
    <sheetView showGridLines="0" showRowColHeaders="0" tabSelected="1" view="pageBreakPreview" zoomScale="85" zoomScaleNormal="85" zoomScaleSheetLayoutView="85" workbookViewId="0">
      <pane ySplit="1" topLeftCell="A2" activePane="bottomLeft" state="frozen"/>
      <selection pane="bottomLeft" activeCell="D91" sqref="D91"/>
    </sheetView>
  </sheetViews>
  <sheetFormatPr defaultColWidth="0" defaultRowHeight="0" customHeight="1" zeroHeight="1" x14ac:dyDescent="0.2"/>
  <cols>
    <col min="1" max="1" width="2.6328125" style="53" customWidth="1"/>
    <col min="2" max="2" width="15.90625" style="53" bestFit="1" customWidth="1"/>
    <col min="3" max="3" width="2.6328125" style="53" customWidth="1"/>
    <col min="4" max="4" width="9.6328125" style="53" customWidth="1"/>
    <col min="5" max="5" width="5.36328125" style="53" bestFit="1" customWidth="1"/>
    <col min="6" max="7" width="5.26953125" style="53" customWidth="1"/>
    <col min="8" max="8" width="2.6328125" style="53" customWidth="1"/>
    <col min="9" max="9" width="5.26953125" style="53" customWidth="1"/>
    <col min="10" max="10" width="10.90625" style="53" bestFit="1" customWidth="1"/>
    <col min="11" max="11" width="20.08984375" style="53" customWidth="1"/>
    <col min="12" max="12" width="3.7265625" style="266" bestFit="1" customWidth="1"/>
    <col min="13" max="14" width="3.36328125" style="266" customWidth="1"/>
    <col min="15" max="15" width="3.7265625" style="53" customWidth="1"/>
    <col min="16" max="16" width="1.6328125" style="53" customWidth="1"/>
    <col min="17" max="17" width="10.08984375" style="75" bestFit="1" customWidth="1"/>
    <col min="18" max="18" width="2.08984375" style="75" customWidth="1"/>
    <col min="19" max="19" width="10.08984375" style="75" bestFit="1" customWidth="1"/>
    <col min="20" max="20" width="2.6328125" style="75" customWidth="1"/>
    <col min="21" max="21" width="11.36328125" style="53" bestFit="1" customWidth="1"/>
    <col min="22" max="22" width="13.36328125" style="266" bestFit="1" customWidth="1"/>
    <col min="23" max="23" width="10.6328125" style="183" hidden="1" customWidth="1"/>
    <col min="24" max="24" width="12.90625" style="77" hidden="1" customWidth="1"/>
    <col min="25" max="27" width="12.90625" style="52" hidden="1" customWidth="1"/>
    <col min="28" max="16384" width="0" style="52" hidden="1"/>
  </cols>
  <sheetData>
    <row r="1" spans="1:256" s="14" customFormat="1" ht="32.5" x14ac:dyDescent="0.2">
      <c r="A1" s="498" t="s">
        <v>101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13"/>
    </row>
    <row r="2" spans="1:256" s="15" customFormat="1" ht="19" customHeight="1" x14ac:dyDescent="0.2">
      <c r="A2" s="18"/>
      <c r="B2" s="18"/>
      <c r="C2" s="18"/>
      <c r="D2" s="18"/>
      <c r="E2" s="18"/>
      <c r="F2" s="16"/>
      <c r="G2" s="18"/>
      <c r="H2" s="18"/>
      <c r="I2" s="501" t="s">
        <v>40</v>
      </c>
      <c r="J2" s="502"/>
      <c r="K2" s="175"/>
      <c r="L2" s="176"/>
      <c r="M2" s="176"/>
      <c r="N2" s="176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  <c r="IT2" s="262"/>
      <c r="IU2" s="262"/>
      <c r="IV2" s="262"/>
    </row>
    <row r="3" spans="1:256" s="15" customFormat="1" ht="19" customHeight="1" x14ac:dyDescent="0.2">
      <c r="A3" s="18"/>
      <c r="B3" s="495" t="s">
        <v>41</v>
      </c>
      <c r="C3" s="496"/>
      <c r="D3" s="496"/>
      <c r="E3" s="123"/>
      <c r="F3" s="18"/>
      <c r="G3" s="18"/>
      <c r="H3" s="21"/>
      <c r="I3" s="502"/>
      <c r="J3" s="502"/>
      <c r="K3" s="22"/>
      <c r="L3" s="23"/>
      <c r="M3" s="176"/>
      <c r="N3" s="176"/>
      <c r="O3" s="18"/>
      <c r="P3" s="18"/>
      <c r="Q3" s="17"/>
      <c r="R3" s="17"/>
      <c r="S3" s="17"/>
      <c r="T3" s="17"/>
      <c r="U3" s="18"/>
      <c r="V3" s="176"/>
      <c r="W3" s="20"/>
    </row>
    <row r="4" spans="1:256" s="15" customFormat="1" ht="19" customHeight="1" x14ac:dyDescent="0.2">
      <c r="A4" s="18"/>
      <c r="B4" s="496"/>
      <c r="C4" s="496"/>
      <c r="D4" s="496"/>
      <c r="E4" s="123"/>
      <c r="F4" s="18"/>
      <c r="G4" s="18"/>
      <c r="H4" s="27"/>
      <c r="I4" s="182"/>
      <c r="J4" s="18"/>
      <c r="K4" s="18"/>
      <c r="L4" s="28"/>
      <c r="M4" s="176"/>
      <c r="N4" s="176"/>
      <c r="O4" s="515" t="s">
        <v>78</v>
      </c>
      <c r="P4" s="303"/>
      <c r="Q4" s="511" t="s">
        <v>71</v>
      </c>
      <c r="R4" s="512"/>
      <c r="S4" s="512"/>
      <c r="T4" s="24"/>
      <c r="U4" s="25" t="s">
        <v>27</v>
      </c>
      <c r="V4" s="26" t="s">
        <v>28</v>
      </c>
      <c r="W4" s="20"/>
    </row>
    <row r="5" spans="1:256" s="15" customFormat="1" ht="19" customHeight="1" x14ac:dyDescent="0.2">
      <c r="A5" s="18"/>
      <c r="B5" s="16"/>
      <c r="C5" s="16"/>
      <c r="D5" s="16"/>
      <c r="E5" s="16"/>
      <c r="F5" s="18"/>
      <c r="G5" s="18"/>
      <c r="H5" s="27"/>
      <c r="I5" s="264"/>
      <c r="J5" s="264" t="s">
        <v>90</v>
      </c>
      <c r="K5" s="294">
        <f>(VLOOKUP(D8,準備料金,2,0))*D10</f>
        <v>4800</v>
      </c>
      <c r="L5" s="28"/>
      <c r="M5" s="176"/>
      <c r="N5" s="176"/>
      <c r="O5" s="515"/>
      <c r="P5" s="304"/>
      <c r="Q5" s="391">
        <f>IF($D$10=1,10,20)</f>
        <v>20</v>
      </c>
      <c r="R5" s="486" t="s">
        <v>43</v>
      </c>
      <c r="S5" s="486"/>
      <c r="T5" s="177"/>
      <c r="U5" s="241">
        <v>60</v>
      </c>
      <c r="V5" s="29">
        <f>IF(D12&lt;Q6,D12*U5,Q5*U5)</f>
        <v>60</v>
      </c>
      <c r="W5" s="20"/>
    </row>
    <row r="6" spans="1:256" s="15" customFormat="1" ht="19" customHeight="1" x14ac:dyDescent="0.2">
      <c r="A6" s="18"/>
      <c r="B6" s="17"/>
      <c r="C6" s="506" t="s">
        <v>38</v>
      </c>
      <c r="D6" s="507"/>
      <c r="E6" s="507"/>
      <c r="F6" s="18"/>
      <c r="G6" s="18"/>
      <c r="H6" s="27"/>
      <c r="I6" s="264"/>
      <c r="J6" s="43" t="s">
        <v>83</v>
      </c>
      <c r="K6" s="176"/>
      <c r="L6" s="28"/>
      <c r="O6" s="515"/>
      <c r="P6" s="304"/>
      <c r="Q6" s="391">
        <f>IF($D$10=1,11,21)</f>
        <v>21</v>
      </c>
      <c r="R6" s="247" t="s">
        <v>37</v>
      </c>
      <c r="S6" s="248">
        <f>IF($D$10=1,20,40)</f>
        <v>40</v>
      </c>
      <c r="T6" s="30" t="s">
        <v>44</v>
      </c>
      <c r="U6" s="242">
        <v>110</v>
      </c>
      <c r="V6" s="29">
        <f>IF($D$12&lt;Q7,IF($D$12&lt;Q5,0,($D$12-Q5)*U6),(S6-Q5)*U6)</f>
        <v>0</v>
      </c>
      <c r="W6" s="20"/>
    </row>
    <row r="7" spans="1:256" s="15" customFormat="1" ht="19" customHeight="1" x14ac:dyDescent="0.2">
      <c r="A7" s="18"/>
      <c r="B7" s="17"/>
      <c r="C7" s="129"/>
      <c r="D7" s="130"/>
      <c r="E7" s="131"/>
      <c r="F7" s="18"/>
      <c r="G7" s="18"/>
      <c r="H7" s="27"/>
      <c r="I7" s="264"/>
      <c r="J7" s="264" t="s">
        <v>91</v>
      </c>
      <c r="K7" s="294">
        <f>SUM(V5:V11)</f>
        <v>60</v>
      </c>
      <c r="L7" s="28"/>
      <c r="M7" s="509" t="s">
        <v>52</v>
      </c>
      <c r="N7" s="510"/>
      <c r="O7" s="515"/>
      <c r="P7" s="304"/>
      <c r="Q7" s="391">
        <f>IF($D$10=1,21,41)</f>
        <v>41</v>
      </c>
      <c r="R7" s="247" t="s">
        <v>37</v>
      </c>
      <c r="S7" s="248">
        <f>IF($D$10=1,30,60)</f>
        <v>60</v>
      </c>
      <c r="T7" s="30" t="s">
        <v>44</v>
      </c>
      <c r="U7" s="242">
        <v>205</v>
      </c>
      <c r="V7" s="29">
        <f>IF($D$12&lt;Q8,IF($D$12&lt;Q7,0,($D$12-S6)*U7),(S7-S6)*U7)</f>
        <v>0</v>
      </c>
      <c r="W7" s="20"/>
    </row>
    <row r="8" spans="1:256" s="15" customFormat="1" ht="19" customHeight="1" x14ac:dyDescent="0.2">
      <c r="A8" s="18"/>
      <c r="B8" s="31" t="s">
        <v>23</v>
      </c>
      <c r="C8" s="132"/>
      <c r="D8" s="8">
        <v>25</v>
      </c>
      <c r="E8" s="133" t="s">
        <v>25</v>
      </c>
      <c r="F8" s="18"/>
      <c r="G8" s="18"/>
      <c r="H8" s="27"/>
      <c r="I8" s="264"/>
      <c r="J8" s="43" t="s">
        <v>83</v>
      </c>
      <c r="K8" s="269"/>
      <c r="L8" s="28"/>
      <c r="M8" s="171"/>
      <c r="N8" s="171"/>
      <c r="O8" s="515"/>
      <c r="P8" s="304"/>
      <c r="Q8" s="391">
        <f>IF($D$10=1,31,61)</f>
        <v>61</v>
      </c>
      <c r="R8" s="247" t="s">
        <v>37</v>
      </c>
      <c r="S8" s="248">
        <f>IF($D$10=1,100,200)</f>
        <v>200</v>
      </c>
      <c r="T8" s="30" t="s">
        <v>44</v>
      </c>
      <c r="U8" s="242">
        <v>215</v>
      </c>
      <c r="V8" s="29">
        <f>IF($D$12&lt;Q9,IF($D$12&lt;Q8,0,($D$12-S7)*U8),(S8-S7)*U8)</f>
        <v>0</v>
      </c>
      <c r="W8" s="20"/>
    </row>
    <row r="9" spans="1:256" s="15" customFormat="1" ht="19" customHeight="1" x14ac:dyDescent="0.2">
      <c r="A9" s="18"/>
      <c r="B9" s="176"/>
      <c r="C9" s="134"/>
      <c r="D9" s="18"/>
      <c r="E9" s="133"/>
      <c r="F9" s="18"/>
      <c r="G9" s="18"/>
      <c r="H9" s="27"/>
      <c r="I9" s="264"/>
      <c r="J9" s="310" t="str">
        <f>"消費税 "&amp;DBCS(TEXT(date!$G$17*100,0))&amp;"％(C)"</f>
        <v>消費税 １０％(C)</v>
      </c>
      <c r="K9" s="294">
        <f>ROUNDDOWN(SUM(K5,K7)*date!G17,0)</f>
        <v>486</v>
      </c>
      <c r="L9" s="28"/>
      <c r="M9" s="171"/>
      <c r="N9" s="171"/>
      <c r="O9" s="515"/>
      <c r="P9" s="304"/>
      <c r="Q9" s="391">
        <f>IF($D$10=1,101,201)</f>
        <v>201</v>
      </c>
      <c r="R9" s="247" t="s">
        <v>37</v>
      </c>
      <c r="S9" s="248">
        <f>IF($D$10=1,3000,6000)</f>
        <v>6000</v>
      </c>
      <c r="T9" s="30" t="s">
        <v>44</v>
      </c>
      <c r="U9" s="242">
        <v>230</v>
      </c>
      <c r="V9" s="29">
        <f>IF($D$12&lt;Q10,IF($D$12&lt;Q9,0,($D$12-S8)*U9),(S9-S8)*U9)</f>
        <v>0</v>
      </c>
      <c r="W9" s="20"/>
    </row>
    <row r="10" spans="1:256" s="15" customFormat="1" ht="19" customHeight="1" thickBot="1" x14ac:dyDescent="0.25">
      <c r="A10" s="18"/>
      <c r="B10" s="31" t="s">
        <v>24</v>
      </c>
      <c r="C10" s="132"/>
      <c r="D10" s="9">
        <v>2</v>
      </c>
      <c r="E10" s="133" t="s">
        <v>26</v>
      </c>
      <c r="F10" s="18"/>
      <c r="G10" s="18"/>
      <c r="H10" s="27"/>
      <c r="I10" s="264"/>
      <c r="J10" s="43" t="s">
        <v>84</v>
      </c>
      <c r="K10" s="262"/>
      <c r="L10" s="28"/>
      <c r="M10" s="171"/>
      <c r="N10" s="171"/>
      <c r="O10" s="260"/>
      <c r="P10" s="304"/>
      <c r="Q10" s="391">
        <f>IF($D$10=1,3001,6001)</f>
        <v>6001</v>
      </c>
      <c r="R10" s="247" t="s">
        <v>37</v>
      </c>
      <c r="S10" s="248">
        <f>IF($D$10=1,10000,20000)</f>
        <v>20000</v>
      </c>
      <c r="T10" s="30" t="s">
        <v>44</v>
      </c>
      <c r="U10" s="242">
        <v>240</v>
      </c>
      <c r="V10" s="29">
        <f>IF($D$12&lt;Q11,IF($D$12&lt;Q10,0,($D$12-S9)*U10),(S10-S9)*U10)</f>
        <v>0</v>
      </c>
      <c r="W10" s="20"/>
    </row>
    <row r="11" spans="1:256" s="15" customFormat="1" ht="19" customHeight="1" thickBot="1" x14ac:dyDescent="0.25">
      <c r="A11" s="18"/>
      <c r="B11" s="176"/>
      <c r="C11" s="134"/>
      <c r="D11" s="18"/>
      <c r="E11" s="133"/>
      <c r="F11" s="18"/>
      <c r="G11" s="18"/>
      <c r="H11" s="27"/>
      <c r="I11" s="465" t="s">
        <v>82</v>
      </c>
      <c r="J11" s="465"/>
      <c r="K11" s="32">
        <f>SUM(K5,K7,K9)</f>
        <v>5346</v>
      </c>
      <c r="L11" s="301" t="s">
        <v>88</v>
      </c>
      <c r="M11" s="261"/>
      <c r="N11" s="261"/>
      <c r="O11" s="260"/>
      <c r="P11" s="305"/>
      <c r="Q11" s="400">
        <f>IF($D$10=1,10001,20001)</f>
        <v>20001</v>
      </c>
      <c r="R11" s="400" t="s">
        <v>156</v>
      </c>
      <c r="S11" s="400"/>
      <c r="T11" s="177"/>
      <c r="U11" s="242">
        <v>190</v>
      </c>
      <c r="V11" s="29">
        <f>IF($D$12&gt;S10,(D12-S10)*U11,0)</f>
        <v>0</v>
      </c>
      <c r="W11" s="20"/>
    </row>
    <row r="12" spans="1:256" s="15" customFormat="1" ht="19" customHeight="1" x14ac:dyDescent="0.2">
      <c r="A12" s="18"/>
      <c r="B12" s="31" t="s">
        <v>71</v>
      </c>
      <c r="C12" s="135"/>
      <c r="D12" s="10">
        <v>1</v>
      </c>
      <c r="E12" s="133" t="s">
        <v>29</v>
      </c>
      <c r="F12" s="18"/>
      <c r="G12" s="18"/>
      <c r="H12" s="33"/>
      <c r="I12" s="34"/>
      <c r="J12" s="35"/>
      <c r="K12" s="36"/>
      <c r="L12" s="37"/>
      <c r="M12" s="171"/>
      <c r="N12" s="171"/>
      <c r="O12" s="260"/>
      <c r="P12" s="260"/>
      <c r="Q12" s="391"/>
      <c r="R12" s="391"/>
      <c r="S12" s="391"/>
      <c r="T12" s="177"/>
      <c r="U12" s="274"/>
      <c r="V12" s="29"/>
      <c r="W12" s="20"/>
    </row>
    <row r="13" spans="1:256" s="15" customFormat="1" ht="19" customHeight="1" x14ac:dyDescent="0.2">
      <c r="A13" s="18"/>
      <c r="B13" s="176"/>
      <c r="C13" s="134"/>
      <c r="D13" s="42"/>
      <c r="E13" s="133"/>
      <c r="F13" s="18"/>
      <c r="G13" s="18"/>
      <c r="H13" s="18"/>
      <c r="I13" s="503" t="s">
        <v>72</v>
      </c>
      <c r="J13" s="504"/>
      <c r="K13" s="184"/>
      <c r="L13" s="176"/>
      <c r="M13" s="171"/>
      <c r="N13" s="171"/>
      <c r="O13" s="38"/>
      <c r="P13" s="38"/>
      <c r="Q13" s="39"/>
      <c r="R13" s="39"/>
      <c r="S13" s="39"/>
      <c r="T13" s="39"/>
      <c r="U13" s="40"/>
      <c r="V13" s="41"/>
      <c r="W13" s="20"/>
    </row>
    <row r="14" spans="1:256" s="15" customFormat="1" ht="19" customHeight="1" x14ac:dyDescent="0.2">
      <c r="A14" s="18"/>
      <c r="B14" s="176"/>
      <c r="C14" s="134"/>
      <c r="D14" s="42"/>
      <c r="E14" s="133"/>
      <c r="F14" s="18"/>
      <c r="G14" s="18"/>
      <c r="H14" s="21"/>
      <c r="I14" s="504"/>
      <c r="J14" s="504"/>
      <c r="K14" s="46"/>
      <c r="L14" s="47"/>
      <c r="M14" s="171"/>
      <c r="N14" s="171"/>
      <c r="O14" s="493" t="s">
        <v>74</v>
      </c>
      <c r="P14" s="513"/>
      <c r="Q14" s="516" t="s">
        <v>71</v>
      </c>
      <c r="R14" s="516"/>
      <c r="S14" s="516"/>
      <c r="T14" s="124"/>
      <c r="U14" s="125" t="s">
        <v>27</v>
      </c>
      <c r="V14" s="126" t="s">
        <v>28</v>
      </c>
      <c r="W14" s="20"/>
    </row>
    <row r="15" spans="1:256" s="15" customFormat="1" ht="19" customHeight="1" x14ac:dyDescent="0.2">
      <c r="A15" s="18"/>
      <c r="B15" s="31" t="s">
        <v>39</v>
      </c>
      <c r="C15" s="132"/>
      <c r="D15" s="11" t="s">
        <v>192</v>
      </c>
      <c r="E15" s="133"/>
      <c r="F15" s="18"/>
      <c r="G15" s="18"/>
      <c r="H15" s="27"/>
      <c r="I15" s="291"/>
      <c r="J15" s="291"/>
      <c r="K15" s="18"/>
      <c r="L15" s="28"/>
      <c r="M15" s="122"/>
      <c r="N15" s="171"/>
      <c r="O15" s="493"/>
      <c r="P15" s="514"/>
      <c r="Q15" s="392">
        <f>IF($D$10=1,5,10)</f>
        <v>10</v>
      </c>
      <c r="R15" s="492" t="s">
        <v>56</v>
      </c>
      <c r="S15" s="492"/>
      <c r="T15" s="393"/>
      <c r="U15" s="238">
        <f>IF(D10=1,640,1280)</f>
        <v>1280</v>
      </c>
      <c r="V15" s="127">
        <f>IF(D15="あり",U15,0)</f>
        <v>1280</v>
      </c>
      <c r="W15" s="20"/>
    </row>
    <row r="16" spans="1:256" s="15" customFormat="1" ht="19" customHeight="1" x14ac:dyDescent="0.2">
      <c r="A16" s="18"/>
      <c r="B16" s="176"/>
      <c r="C16" s="136"/>
      <c r="D16" s="137"/>
      <c r="E16" s="138"/>
      <c r="F16" s="18"/>
      <c r="G16" s="18"/>
      <c r="H16" s="27"/>
      <c r="I16" s="264"/>
      <c r="J16" s="264" t="s">
        <v>89</v>
      </c>
      <c r="K16" s="295">
        <f>SUM(V15:V24)</f>
        <v>1280</v>
      </c>
      <c r="L16" s="28"/>
      <c r="M16" s="509" t="s">
        <v>52</v>
      </c>
      <c r="N16" s="510"/>
      <c r="O16" s="493"/>
      <c r="P16" s="514"/>
      <c r="Q16" s="392">
        <f>IF($D$10=1,6,11)</f>
        <v>11</v>
      </c>
      <c r="R16" s="250" t="s">
        <v>46</v>
      </c>
      <c r="S16" s="251">
        <f>IF($D$10=1,10,20)</f>
        <v>20</v>
      </c>
      <c r="T16" s="128" t="s">
        <v>57</v>
      </c>
      <c r="U16" s="243">
        <v>70</v>
      </c>
      <c r="V16" s="127">
        <f>IF(D15="あり",IF($D$12&lt;Q17,IF($D$12&lt;Q15,0,($D$12-Q15)*U16),(S16-Q15)*U16),0)</f>
        <v>0</v>
      </c>
      <c r="W16" s="20"/>
    </row>
    <row r="17" spans="1:24" s="15" customFormat="1" ht="19" customHeight="1" x14ac:dyDescent="0.2">
      <c r="A17" s="18"/>
      <c r="B17" s="176"/>
      <c r="C17" s="176"/>
      <c r="D17" s="42"/>
      <c r="E17" s="18"/>
      <c r="F17" s="18"/>
      <c r="G17" s="18"/>
      <c r="H17" s="27"/>
      <c r="I17" s="264"/>
      <c r="J17" s="43" t="s">
        <v>83</v>
      </c>
      <c r="K17" s="269"/>
      <c r="L17" s="28"/>
      <c r="O17" s="493"/>
      <c r="P17" s="514"/>
      <c r="Q17" s="392">
        <f>IF($D$10=1,11,21)</f>
        <v>21</v>
      </c>
      <c r="R17" s="250" t="s">
        <v>54</v>
      </c>
      <c r="S17" s="251">
        <f>IF($D$10=1,15,30)</f>
        <v>30</v>
      </c>
      <c r="T17" s="128" t="s">
        <v>58</v>
      </c>
      <c r="U17" s="243">
        <v>95</v>
      </c>
      <c r="V17" s="127">
        <f>IF(D15="あり",IF($D$12&lt;Q18,IF($D$12&lt;Q17,0,($D$12-S16)*U17),(S17-S16)*U17),0)</f>
        <v>0</v>
      </c>
      <c r="W17" s="20"/>
    </row>
    <row r="18" spans="1:24" s="15" customFormat="1" ht="19" customHeight="1" x14ac:dyDescent="0.2">
      <c r="A18" s="18"/>
      <c r="B18" s="176"/>
      <c r="C18" s="176"/>
      <c r="D18" s="42"/>
      <c r="E18" s="18"/>
      <c r="F18" s="18"/>
      <c r="G18" s="18"/>
      <c r="H18" s="27"/>
      <c r="I18" s="264"/>
      <c r="J18" s="264" t="str">
        <f>"消費税 "&amp;DBCS(TEXT(date!$G$17*100,0))&amp;"％(F)"</f>
        <v>消費税 １０％(F)</v>
      </c>
      <c r="K18" s="295">
        <f>ROUNDDOWN(K16*date!G17,0)</f>
        <v>128</v>
      </c>
      <c r="L18" s="28"/>
      <c r="M18" s="171"/>
      <c r="N18" s="171"/>
      <c r="O18" s="493"/>
      <c r="P18" s="514"/>
      <c r="Q18" s="392">
        <f>IF($D$10=1,16,31)</f>
        <v>31</v>
      </c>
      <c r="R18" s="250" t="s">
        <v>37</v>
      </c>
      <c r="S18" s="251">
        <f>IF($D$10=1,30,60)</f>
        <v>60</v>
      </c>
      <c r="T18" s="128" t="s">
        <v>58</v>
      </c>
      <c r="U18" s="243">
        <v>110</v>
      </c>
      <c r="V18" s="127">
        <f>IF(D15="あり",IF($D$12&lt;Q19,IF($D$12&lt;Q18,0,($D$12-S17)*U18),(S18-S17)*U18),0)</f>
        <v>0</v>
      </c>
      <c r="W18" s="20"/>
    </row>
    <row r="19" spans="1:24" s="15" customFormat="1" ht="19" customHeight="1" thickBot="1" x14ac:dyDescent="0.25">
      <c r="A19" s="18"/>
      <c r="B19" s="262"/>
      <c r="C19" s="262"/>
      <c r="D19" s="42"/>
      <c r="E19" s="18"/>
      <c r="F19" s="18"/>
      <c r="G19" s="18"/>
      <c r="H19" s="27"/>
      <c r="I19" s="264"/>
      <c r="J19" s="43" t="s">
        <v>84</v>
      </c>
      <c r="K19" s="48"/>
      <c r="L19" s="28"/>
      <c r="M19" s="176"/>
      <c r="N19" s="176"/>
      <c r="O19" s="493"/>
      <c r="P19" s="514"/>
      <c r="Q19" s="392">
        <f>IF($D$10=1,31,61)</f>
        <v>61</v>
      </c>
      <c r="R19" s="250" t="s">
        <v>59</v>
      </c>
      <c r="S19" s="251">
        <f>IF($D$10=1,100,200)</f>
        <v>200</v>
      </c>
      <c r="T19" s="128" t="s">
        <v>62</v>
      </c>
      <c r="U19" s="243">
        <v>150</v>
      </c>
      <c r="V19" s="127">
        <f>IF(D15="あり",IF($D$12&lt;Q20,IF($D$12&lt;Q19,0,($D$12-S18)*U19),(S19-S18)*U19),0)</f>
        <v>0</v>
      </c>
      <c r="W19" s="20"/>
    </row>
    <row r="20" spans="1:24" s="15" customFormat="1" ht="19" customHeight="1" thickBot="1" x14ac:dyDescent="0.25">
      <c r="A20" s="18"/>
      <c r="B20" s="508"/>
      <c r="C20" s="508"/>
      <c r="D20" s="42"/>
      <c r="E20" s="18"/>
      <c r="F20" s="18"/>
      <c r="G20" s="18"/>
      <c r="H20" s="27"/>
      <c r="I20" s="465" t="s">
        <v>85</v>
      </c>
      <c r="J20" s="517"/>
      <c r="K20" s="32">
        <f>SUM(K16,K18)</f>
        <v>1408</v>
      </c>
      <c r="L20" s="301" t="s">
        <v>86</v>
      </c>
      <c r="M20" s="176"/>
      <c r="N20" s="176"/>
      <c r="O20" s="493"/>
      <c r="P20" s="514"/>
      <c r="Q20" s="392">
        <f>IF($D$10=1,101,201)</f>
        <v>201</v>
      </c>
      <c r="R20" s="250" t="s">
        <v>59</v>
      </c>
      <c r="S20" s="251">
        <f>IF($D$10=1,500,1000)</f>
        <v>1000</v>
      </c>
      <c r="T20" s="128" t="s">
        <v>60</v>
      </c>
      <c r="U20" s="243">
        <v>160</v>
      </c>
      <c r="V20" s="127">
        <f>IF(D15="あり",IF($D$12&lt;Q21,IF($D$12&lt;Q20,0,($D$12-S19)*U20),(S20-S19)*U20),0)</f>
        <v>0</v>
      </c>
      <c r="W20" s="20"/>
    </row>
    <row r="21" spans="1:24" s="15" customFormat="1" ht="19" customHeight="1" x14ac:dyDescent="0.2">
      <c r="A21" s="18"/>
      <c r="B21" s="176"/>
      <c r="C21" s="176"/>
      <c r="D21" s="42"/>
      <c r="E21" s="18"/>
      <c r="F21" s="18"/>
      <c r="G21" s="18"/>
      <c r="H21" s="27"/>
      <c r="I21" s="262"/>
      <c r="J21" s="263"/>
      <c r="K21" s="44"/>
      <c r="L21" s="28"/>
      <c r="M21" s="176"/>
      <c r="N21" s="176"/>
      <c r="O21" s="493"/>
      <c r="P21" s="514"/>
      <c r="Q21" s="392">
        <f>IF($D$10=1,501,1001)</f>
        <v>1001</v>
      </c>
      <c r="R21" s="250" t="s">
        <v>55</v>
      </c>
      <c r="S21" s="251">
        <f>IF($D$10=1,1000,2000)</f>
        <v>2000</v>
      </c>
      <c r="T21" s="128" t="s">
        <v>58</v>
      </c>
      <c r="U21" s="243">
        <v>170</v>
      </c>
      <c r="V21" s="127">
        <f>IF(D15="あり",IF($D$12&lt;Q22,IF($D$12&lt;Q21,0,($D$12-S20)*U21),(S21-S20)*U21),0)</f>
        <v>0</v>
      </c>
      <c r="W21" s="20"/>
    </row>
    <row r="22" spans="1:24" s="15" customFormat="1" ht="19" customHeight="1" x14ac:dyDescent="0.2">
      <c r="A22" s="18"/>
      <c r="B22" s="176"/>
      <c r="C22" s="176"/>
      <c r="D22" s="42"/>
      <c r="E22" s="18"/>
      <c r="F22" s="18"/>
      <c r="G22" s="18"/>
      <c r="H22" s="95"/>
      <c r="I22" s="45"/>
      <c r="J22" s="271"/>
      <c r="K22" s="272"/>
      <c r="L22" s="45"/>
      <c r="M22" s="176"/>
      <c r="N22" s="39"/>
      <c r="O22" s="494"/>
      <c r="P22" s="304"/>
      <c r="Q22" s="394">
        <f>IF($D$10=1,1001,2001)</f>
        <v>2001</v>
      </c>
      <c r="R22" s="250" t="s">
        <v>37</v>
      </c>
      <c r="S22" s="251">
        <f>IF($D$10=1,5000,10000)</f>
        <v>10000</v>
      </c>
      <c r="T22" s="128" t="s">
        <v>57</v>
      </c>
      <c r="U22" s="243">
        <v>180</v>
      </c>
      <c r="V22" s="127">
        <f>IF(D15="あり",IF($D$12&lt;Q23,IF($D$12&lt;Q22,0,($D$12-S21)*U22),(S22-S21)*U22),0)</f>
        <v>0</v>
      </c>
      <c r="W22" s="18"/>
    </row>
    <row r="23" spans="1:24" s="15" customFormat="1" ht="19" customHeight="1" x14ac:dyDescent="0.2">
      <c r="A23" s="18"/>
      <c r="B23" s="530" t="s">
        <v>95</v>
      </c>
      <c r="C23" s="531"/>
      <c r="D23" s="531"/>
      <c r="E23" s="531"/>
      <c r="F23" s="531"/>
      <c r="G23" s="505">
        <f>SUM(K11,K20)</f>
        <v>6754</v>
      </c>
      <c r="H23" s="469"/>
      <c r="I23" s="469"/>
      <c r="J23" s="469"/>
      <c r="K23" s="18"/>
      <c r="L23" s="176"/>
      <c r="M23" s="39"/>
      <c r="N23" s="176"/>
      <c r="O23" s="39"/>
      <c r="P23" s="304"/>
      <c r="Q23" s="394">
        <f>IF($D$10=1,5001,10001)</f>
        <v>10001</v>
      </c>
      <c r="R23" s="250" t="s">
        <v>37</v>
      </c>
      <c r="S23" s="251">
        <f>IF($D$10=1,10000,20000)</f>
        <v>20000</v>
      </c>
      <c r="T23" s="128" t="s">
        <v>57</v>
      </c>
      <c r="U23" s="243">
        <v>195</v>
      </c>
      <c r="V23" s="127">
        <f>IF(D15="あり",IF($D$12&lt;Q24,IF($D$12&lt;Q23,0,($D$12-S22)*U23),(S23-S22)*U23),0)</f>
        <v>0</v>
      </c>
      <c r="W23" s="20"/>
    </row>
    <row r="24" spans="1:24" s="15" customFormat="1" ht="19" customHeight="1" thickBot="1" x14ac:dyDescent="0.25">
      <c r="A24" s="18"/>
      <c r="B24" s="532"/>
      <c r="C24" s="532"/>
      <c r="D24" s="532"/>
      <c r="E24" s="532"/>
      <c r="F24" s="532"/>
      <c r="G24" s="470"/>
      <c r="H24" s="470"/>
      <c r="I24" s="470"/>
      <c r="J24" s="470"/>
      <c r="K24" s="38"/>
      <c r="L24" s="39"/>
      <c r="M24" s="39"/>
      <c r="N24" s="176"/>
      <c r="O24" s="39"/>
      <c r="P24" s="305"/>
      <c r="Q24" s="394">
        <f>IF($D$10=1,10001,20001)</f>
        <v>20001</v>
      </c>
      <c r="R24" s="521" t="s">
        <v>61</v>
      </c>
      <c r="S24" s="521"/>
      <c r="T24" s="397"/>
      <c r="U24" s="243">
        <v>200</v>
      </c>
      <c r="V24" s="127">
        <f>IF($D$12&gt;S23,(D12-S23)*U24,0)</f>
        <v>0</v>
      </c>
      <c r="W24" s="20"/>
    </row>
    <row r="25" spans="1:24" s="15" customFormat="1" ht="19" customHeight="1" x14ac:dyDescent="0.2">
      <c r="A25" s="18"/>
      <c r="B25" s="43"/>
      <c r="C25" s="43"/>
      <c r="D25" s="43"/>
      <c r="E25" s="43"/>
      <c r="F25" s="43"/>
      <c r="G25" s="49"/>
      <c r="H25" s="49"/>
      <c r="I25" s="49"/>
      <c r="J25" s="49"/>
      <c r="K25" s="38"/>
      <c r="L25" s="39"/>
      <c r="M25" s="176"/>
      <c r="N25" s="176"/>
      <c r="O25" s="38"/>
      <c r="P25" s="260"/>
      <c r="Q25" s="39"/>
      <c r="R25" s="39"/>
      <c r="S25" s="39"/>
      <c r="T25" s="39"/>
      <c r="U25" s="40"/>
      <c r="V25" s="41"/>
      <c r="W25" s="20"/>
      <c r="X25" s="19"/>
    </row>
    <row r="26" spans="1:24" s="18" customFormat="1" ht="19" customHeight="1" x14ac:dyDescent="0.2">
      <c r="B26" s="262"/>
      <c r="C26" s="262"/>
      <c r="D26" s="42"/>
      <c r="L26" s="262"/>
      <c r="M26" s="262"/>
      <c r="N26" s="262"/>
      <c r="O26" s="38"/>
      <c r="P26" s="38"/>
      <c r="Q26" s="39"/>
      <c r="R26" s="39"/>
      <c r="S26" s="39"/>
      <c r="T26" s="39"/>
      <c r="U26" s="40"/>
      <c r="V26" s="41"/>
      <c r="W26" s="50"/>
      <c r="X26" s="20"/>
    </row>
    <row r="27" spans="1:24" s="275" customFormat="1" ht="19" customHeight="1" thickBot="1" x14ac:dyDescent="0.25">
      <c r="B27" s="276"/>
      <c r="C27" s="276"/>
      <c r="D27" s="277"/>
      <c r="J27" s="276"/>
      <c r="K27" s="278"/>
      <c r="L27" s="276"/>
      <c r="M27" s="276"/>
      <c r="N27" s="276"/>
      <c r="O27" s="279"/>
      <c r="P27" s="279"/>
      <c r="Q27" s="280"/>
      <c r="R27" s="280"/>
      <c r="S27" s="280"/>
      <c r="T27" s="280"/>
      <c r="U27" s="281"/>
      <c r="V27" s="282"/>
      <c r="W27" s="283"/>
      <c r="X27" s="284"/>
    </row>
    <row r="28" spans="1:24" ht="19" customHeight="1" x14ac:dyDescent="0.2">
      <c r="B28" s="266"/>
      <c r="C28" s="266"/>
      <c r="D28" s="54"/>
      <c r="J28" s="266"/>
      <c r="K28" s="55"/>
      <c r="O28" s="56"/>
      <c r="P28" s="56"/>
      <c r="Q28" s="57"/>
      <c r="R28" s="57"/>
      <c r="S28" s="57"/>
      <c r="T28" s="57"/>
      <c r="U28" s="58"/>
      <c r="V28" s="59"/>
      <c r="W28" s="60"/>
      <c r="X28" s="52"/>
    </row>
    <row r="29" spans="1:24" ht="19" customHeight="1" x14ac:dyDescent="0.2">
      <c r="B29" s="183"/>
      <c r="C29" s="183"/>
      <c r="D29" s="54"/>
      <c r="I29" s="499" t="s">
        <v>40</v>
      </c>
      <c r="J29" s="500"/>
      <c r="K29" s="61"/>
      <c r="L29" s="183"/>
      <c r="M29" s="183"/>
      <c r="N29" s="183"/>
      <c r="O29" s="56"/>
      <c r="P29" s="56"/>
      <c r="Q29" s="57"/>
      <c r="R29" s="57"/>
      <c r="S29" s="57"/>
      <c r="T29" s="57"/>
      <c r="U29" s="58"/>
      <c r="V29" s="59"/>
      <c r="W29" s="60"/>
      <c r="X29" s="52"/>
    </row>
    <row r="30" spans="1:24" ht="19" customHeight="1" x14ac:dyDescent="0.2">
      <c r="B30" s="497" t="s">
        <v>42</v>
      </c>
      <c r="C30" s="497"/>
      <c r="D30" s="497"/>
      <c r="E30" s="172"/>
      <c r="F30" s="172"/>
      <c r="H30" s="65"/>
      <c r="I30" s="500"/>
      <c r="J30" s="500"/>
      <c r="K30" s="66"/>
      <c r="L30" s="67"/>
      <c r="M30" s="183"/>
      <c r="N30" s="183"/>
      <c r="O30" s="56"/>
      <c r="P30" s="56"/>
      <c r="Q30" s="57"/>
      <c r="R30" s="57"/>
      <c r="S30" s="57"/>
      <c r="T30" s="57"/>
      <c r="U30" s="62"/>
      <c r="V30" s="63"/>
      <c r="W30" s="64"/>
      <c r="X30" s="52"/>
    </row>
    <row r="31" spans="1:24" ht="19" customHeight="1" x14ac:dyDescent="0.2">
      <c r="B31" s="497"/>
      <c r="C31" s="497"/>
      <c r="D31" s="497"/>
      <c r="E31" s="172"/>
      <c r="F31" s="172"/>
      <c r="H31" s="68"/>
      <c r="L31" s="69"/>
      <c r="M31" s="183"/>
      <c r="N31" s="183"/>
      <c r="O31" s="461" t="s">
        <v>78</v>
      </c>
      <c r="P31" s="306"/>
      <c r="Q31" s="473" t="s">
        <v>71</v>
      </c>
      <c r="R31" s="474"/>
      <c r="S31" s="474"/>
      <c r="T31" s="520"/>
      <c r="U31" s="70" t="s">
        <v>27</v>
      </c>
      <c r="V31" s="71" t="s">
        <v>28</v>
      </c>
      <c r="W31" s="64"/>
      <c r="X31" s="52"/>
    </row>
    <row r="32" spans="1:24" ht="19" customHeight="1" x14ac:dyDescent="0.2">
      <c r="B32" s="72" t="s">
        <v>104</v>
      </c>
      <c r="C32" s="73"/>
      <c r="D32" s="73"/>
      <c r="E32" s="172"/>
      <c r="F32" s="172"/>
      <c r="H32" s="68"/>
      <c r="I32" s="273"/>
      <c r="J32" s="273" t="s">
        <v>90</v>
      </c>
      <c r="K32" s="296">
        <f>IF(D36=13,910,IF(D36="","",1020))*E40*D42</f>
        <v>2040</v>
      </c>
      <c r="L32" s="69"/>
      <c r="M32" s="183"/>
      <c r="N32" s="183"/>
      <c r="O32" s="461"/>
      <c r="P32" s="307"/>
      <c r="Q32" s="252">
        <f>IF(D42=1,10*E40,20*E40)</f>
        <v>20</v>
      </c>
      <c r="R32" s="491" t="s">
        <v>43</v>
      </c>
      <c r="S32" s="491"/>
      <c r="T32" s="178"/>
      <c r="U32" s="244">
        <v>60</v>
      </c>
      <c r="V32" s="74">
        <f>IF($D$44&lt;Q33,(D44*U32),Q32*U32)</f>
        <v>1200</v>
      </c>
      <c r="W32" s="64"/>
      <c r="X32" s="52"/>
    </row>
    <row r="33" spans="2:24" ht="19" customHeight="1" x14ac:dyDescent="0.2">
      <c r="B33" s="183"/>
      <c r="C33" s="183"/>
      <c r="D33" s="54"/>
      <c r="H33" s="68"/>
      <c r="I33" s="273"/>
      <c r="J33" s="86" t="s">
        <v>83</v>
      </c>
      <c r="K33" s="183"/>
      <c r="L33" s="69"/>
      <c r="O33" s="461"/>
      <c r="P33" s="307"/>
      <c r="Q33" s="409">
        <f>IF($D$42=1,(10*$E$40)+1,(20*$E$40)+1)</f>
        <v>21</v>
      </c>
      <c r="R33" s="410" t="s">
        <v>157</v>
      </c>
      <c r="S33" s="411">
        <f>IF(D42=1,20*E40,40*E40)</f>
        <v>40</v>
      </c>
      <c r="T33" s="402" t="s">
        <v>44</v>
      </c>
      <c r="U33" s="403">
        <v>110</v>
      </c>
      <c r="V33" s="74">
        <f>IF($D$44&lt;Q34,IF($D$44&lt;Q33,0,(D44-Q32)*U33),(S33-Q32)*U33)</f>
        <v>0</v>
      </c>
      <c r="W33" s="64"/>
      <c r="X33" s="52"/>
    </row>
    <row r="34" spans="2:24" ht="19" customHeight="1" x14ac:dyDescent="0.2">
      <c r="B34" s="183"/>
      <c r="C34" s="482" t="s">
        <v>38</v>
      </c>
      <c r="D34" s="507"/>
      <c r="E34" s="507"/>
      <c r="F34" s="507"/>
      <c r="H34" s="68"/>
      <c r="I34" s="273"/>
      <c r="J34" s="273" t="s">
        <v>91</v>
      </c>
      <c r="K34" s="296">
        <f>SUM(V32:V38)</f>
        <v>1200</v>
      </c>
      <c r="L34" s="69"/>
      <c r="M34" s="484" t="s">
        <v>52</v>
      </c>
      <c r="N34" s="485"/>
      <c r="O34" s="461"/>
      <c r="P34" s="307"/>
      <c r="Q34" s="409">
        <f>IF($D$42=1,(20*$E$40)+1,(40*$E$40)+1)</f>
        <v>41</v>
      </c>
      <c r="R34" s="410" t="s">
        <v>157</v>
      </c>
      <c r="S34" s="411">
        <f>IF(D42=1,30*E40,60*E40)</f>
        <v>60</v>
      </c>
      <c r="T34" s="402" t="s">
        <v>44</v>
      </c>
      <c r="U34" s="403">
        <v>205</v>
      </c>
      <c r="V34" s="74">
        <f>IF($D$44&lt;Q35,IF($D$44&lt;Q34,0,($D$44-S33)*U34),(S34-S33)*U34)</f>
        <v>0</v>
      </c>
      <c r="W34" s="64"/>
      <c r="X34" s="52"/>
    </row>
    <row r="35" spans="2:24" ht="19" customHeight="1" x14ac:dyDescent="0.2">
      <c r="C35" s="139"/>
      <c r="D35" s="140"/>
      <c r="E35" s="140"/>
      <c r="F35" s="141"/>
      <c r="H35" s="68"/>
      <c r="I35" s="273"/>
      <c r="J35" s="86" t="s">
        <v>83</v>
      </c>
      <c r="K35" s="270"/>
      <c r="L35" s="69"/>
      <c r="M35" s="183"/>
      <c r="N35" s="183"/>
      <c r="O35" s="461"/>
      <c r="P35" s="307"/>
      <c r="Q35" s="409">
        <f>IF($D$42=1,(30*$E$40)+1,(60*$E$40)+1)</f>
        <v>61</v>
      </c>
      <c r="R35" s="410" t="s">
        <v>157</v>
      </c>
      <c r="S35" s="411">
        <f>IF(D42=1,100*E40,200*E40)</f>
        <v>200</v>
      </c>
      <c r="T35" s="402" t="s">
        <v>44</v>
      </c>
      <c r="U35" s="403">
        <v>215</v>
      </c>
      <c r="V35" s="74">
        <f>IF($D$44&lt;Q36,IF($D$44&lt;Q35,0,($D$44-S34)*U35),(S35-S34)*U35)</f>
        <v>0</v>
      </c>
      <c r="W35" s="64"/>
      <c r="X35" s="52"/>
    </row>
    <row r="36" spans="2:24" ht="19" customHeight="1" x14ac:dyDescent="0.2">
      <c r="B36" s="76" t="s">
        <v>31</v>
      </c>
      <c r="C36" s="142"/>
      <c r="D36" s="8">
        <v>20</v>
      </c>
      <c r="E36" s="53" t="s">
        <v>25</v>
      </c>
      <c r="F36" s="143"/>
      <c r="H36" s="68"/>
      <c r="I36" s="273"/>
      <c r="J36" s="273" t="str">
        <f>"消費税 "&amp;DBCS(TEXT(date!$G$17*100,0))&amp;"％(C)"</f>
        <v>消費税 １０％(C)</v>
      </c>
      <c r="K36" s="297">
        <f>ROUNDDOWN(SUM(K32,K34)*date!G17,0)</f>
        <v>324</v>
      </c>
      <c r="L36" s="69"/>
      <c r="M36" s="183"/>
      <c r="N36" s="183"/>
      <c r="O36" s="461"/>
      <c r="P36" s="398"/>
      <c r="Q36" s="409">
        <f>IF($D$42=1,(100*$E$40)+1,(200*$E$40)+1)</f>
        <v>201</v>
      </c>
      <c r="R36" s="410" t="s">
        <v>157</v>
      </c>
      <c r="S36" s="411">
        <f>IF(D42=1,3000*E40,6000*E40)</f>
        <v>6000</v>
      </c>
      <c r="T36" s="402" t="s">
        <v>44</v>
      </c>
      <c r="U36" s="403">
        <v>230</v>
      </c>
      <c r="V36" s="74">
        <f>IF($D$44&lt;Q37,IF($D$44&lt;Q36,0,($D$44-S35)*U36),(S36-S35)*U36)</f>
        <v>0</v>
      </c>
      <c r="W36" s="64"/>
      <c r="X36" s="52"/>
    </row>
    <row r="37" spans="2:24" ht="19" customHeight="1" thickBot="1" x14ac:dyDescent="0.25">
      <c r="B37" s="183"/>
      <c r="C37" s="144"/>
      <c r="F37" s="143"/>
      <c r="H37" s="68"/>
      <c r="I37" s="273"/>
      <c r="J37" s="86" t="s">
        <v>84</v>
      </c>
      <c r="K37" s="266"/>
      <c r="L37" s="69"/>
      <c r="M37" s="183"/>
      <c r="N37" s="183"/>
      <c r="O37" s="309"/>
      <c r="P37" s="398"/>
      <c r="Q37" s="409">
        <f>IF($D$42=1,(3000*$E$40)+1,(6000*$E$40)+1)</f>
        <v>6001</v>
      </c>
      <c r="R37" s="410" t="s">
        <v>157</v>
      </c>
      <c r="S37" s="411">
        <f>IF(D42=1,10000*E40,20000*E40)</f>
        <v>20000</v>
      </c>
      <c r="T37" s="402" t="s">
        <v>44</v>
      </c>
      <c r="U37" s="403">
        <v>240</v>
      </c>
      <c r="V37" s="74">
        <f>IF($D$44&lt;Q38,IF($D$44&lt;Q37,0,($D$44-S36)*U37),(S37-S36)*U37)</f>
        <v>0</v>
      </c>
      <c r="W37" s="64"/>
    </row>
    <row r="38" spans="2:24" ht="19" customHeight="1" thickBot="1" x14ac:dyDescent="0.25">
      <c r="B38" s="79" t="s">
        <v>32</v>
      </c>
      <c r="C38" s="142"/>
      <c r="D38" s="259" t="s">
        <v>103</v>
      </c>
      <c r="F38" s="143"/>
      <c r="H38" s="68"/>
      <c r="I38" s="467" t="s">
        <v>82</v>
      </c>
      <c r="J38" s="478"/>
      <c r="K38" s="78">
        <f>SUM(K32,K34,K36)</f>
        <v>3564</v>
      </c>
      <c r="L38" s="300" t="s">
        <v>88</v>
      </c>
      <c r="M38" s="183"/>
      <c r="N38" s="183"/>
      <c r="O38" s="309"/>
      <c r="P38" s="308"/>
      <c r="Q38" s="405">
        <f>IF(D42=1,(10000*E40)+1,(20000*E40)+1)</f>
        <v>20001</v>
      </c>
      <c r="R38" s="405" t="s">
        <v>156</v>
      </c>
      <c r="S38" s="405"/>
      <c r="T38" s="406"/>
      <c r="U38" s="403">
        <v>190</v>
      </c>
      <c r="V38" s="74">
        <f>IF($D$44&gt;S37,(D44-S37)*U38,0)</f>
        <v>0</v>
      </c>
    </row>
    <row r="39" spans="2:24" ht="19" customHeight="1" x14ac:dyDescent="0.2">
      <c r="B39" s="183"/>
      <c r="C39" s="144"/>
      <c r="F39" s="143"/>
      <c r="H39" s="80"/>
      <c r="I39" s="81"/>
      <c r="J39" s="81"/>
      <c r="K39" s="81"/>
      <c r="L39" s="82"/>
      <c r="O39" s="56"/>
      <c r="P39" s="115"/>
      <c r="Q39" s="401"/>
      <c r="R39" s="401"/>
      <c r="S39" s="401"/>
      <c r="T39" s="406"/>
      <c r="U39" s="407"/>
      <c r="V39" s="404"/>
    </row>
    <row r="40" spans="2:24" ht="19" customHeight="1" x14ac:dyDescent="0.2">
      <c r="B40" s="76" t="s">
        <v>30</v>
      </c>
      <c r="C40" s="142"/>
      <c r="D40" s="8">
        <v>1</v>
      </c>
      <c r="E40" s="83">
        <f>IF(D38="ワンルーム",ROUNDDOWN(D40/3.3,0),D40)</f>
        <v>1</v>
      </c>
      <c r="F40" s="143" t="s">
        <v>48</v>
      </c>
      <c r="I40" s="460" t="s">
        <v>72</v>
      </c>
      <c r="J40" s="460"/>
      <c r="L40" s="183"/>
      <c r="M40" s="183"/>
      <c r="N40" s="183"/>
      <c r="O40" s="56"/>
      <c r="V40" s="183"/>
    </row>
    <row r="41" spans="2:24" ht="19" customHeight="1" x14ac:dyDescent="0.2">
      <c r="B41" s="183"/>
      <c r="C41" s="144"/>
      <c r="F41" s="143"/>
      <c r="H41" s="65"/>
      <c r="I41" s="460"/>
      <c r="J41" s="460"/>
      <c r="K41" s="84"/>
      <c r="L41" s="67"/>
      <c r="M41" s="183"/>
      <c r="N41" s="183"/>
      <c r="O41" s="523" t="s">
        <v>74</v>
      </c>
      <c r="P41" s="471"/>
      <c r="Q41" s="487" t="s">
        <v>71</v>
      </c>
      <c r="R41" s="488"/>
      <c r="S41" s="488"/>
      <c r="T41" s="150"/>
      <c r="U41" s="151" t="s">
        <v>27</v>
      </c>
      <c r="V41" s="152" t="s">
        <v>28</v>
      </c>
    </row>
    <row r="42" spans="2:24" ht="19" customHeight="1" x14ac:dyDescent="0.2">
      <c r="B42" s="76" t="s">
        <v>24</v>
      </c>
      <c r="C42" s="142"/>
      <c r="D42" s="8">
        <v>2</v>
      </c>
      <c r="E42" s="53" t="s">
        <v>26</v>
      </c>
      <c r="F42" s="143"/>
      <c r="H42" s="68"/>
      <c r="L42" s="69"/>
      <c r="M42" s="183"/>
      <c r="N42" s="183"/>
      <c r="O42" s="524"/>
      <c r="P42" s="472"/>
      <c r="Q42" s="253">
        <f>IF(D42=1,5*E40,10*E40)</f>
        <v>10</v>
      </c>
      <c r="R42" s="459" t="s">
        <v>56</v>
      </c>
      <c r="S42" s="459"/>
      <c r="T42" s="180"/>
      <c r="U42" s="256">
        <f>IF($D$42=1,540,1080)*E40</f>
        <v>1080</v>
      </c>
      <c r="V42" s="153">
        <f>IF(D46="あり",U42,0)</f>
        <v>1080</v>
      </c>
    </row>
    <row r="43" spans="2:24" ht="19" customHeight="1" x14ac:dyDescent="0.2">
      <c r="B43" s="183"/>
      <c r="C43" s="144"/>
      <c r="F43" s="143"/>
      <c r="H43" s="68"/>
      <c r="I43" s="467" t="s">
        <v>89</v>
      </c>
      <c r="J43" s="467"/>
      <c r="K43" s="298">
        <f>SUM(V42:V51)</f>
        <v>1780</v>
      </c>
      <c r="L43" s="69"/>
      <c r="M43" s="484" t="s">
        <v>52</v>
      </c>
      <c r="N43" s="485"/>
      <c r="O43" s="524"/>
      <c r="P43" s="472"/>
      <c r="Q43" s="408">
        <f>IF($D$42=1,(5*$E$40)+1,(10*$E$40)+1)</f>
        <v>11</v>
      </c>
      <c r="R43" s="254" t="s">
        <v>37</v>
      </c>
      <c r="S43" s="255">
        <f>IF($D$42=1,(10*$E$40),(20*$E$40))</f>
        <v>20</v>
      </c>
      <c r="T43" s="154" t="s">
        <v>57</v>
      </c>
      <c r="U43" s="246">
        <v>70</v>
      </c>
      <c r="V43" s="153">
        <f>IF(D46="あり",IF($D$44&lt;Q44,IF($D$44&lt;Q42,0,(D44-Q42)*U43),(S43-Q42)*U43),0)</f>
        <v>700</v>
      </c>
    </row>
    <row r="44" spans="2:24" ht="19" customHeight="1" x14ac:dyDescent="0.2">
      <c r="B44" s="76" t="s">
        <v>77</v>
      </c>
      <c r="C44" s="142"/>
      <c r="D44" s="12">
        <v>20</v>
      </c>
      <c r="E44" s="53" t="s">
        <v>50</v>
      </c>
      <c r="F44" s="143"/>
      <c r="H44" s="68"/>
      <c r="I44" s="273"/>
      <c r="J44" s="86" t="s">
        <v>83</v>
      </c>
      <c r="K44" s="270"/>
      <c r="L44" s="69"/>
      <c r="O44" s="524"/>
      <c r="P44" s="472"/>
      <c r="Q44" s="408">
        <f>IF($D$42=1,(10*$E$40)+1,(20*$E$40)+1)</f>
        <v>21</v>
      </c>
      <c r="R44" s="254" t="s">
        <v>37</v>
      </c>
      <c r="S44" s="255">
        <f>IF($D$42=1,15*$E$40,30*$E$40)</f>
        <v>30</v>
      </c>
      <c r="T44" s="154" t="s">
        <v>57</v>
      </c>
      <c r="U44" s="246">
        <v>95</v>
      </c>
      <c r="V44" s="153">
        <f>IF(D46="あり",IF($D$44&lt;Q45,IF($D$44&lt;Q44,0,($D$44-S43)*U44),(S44-S43)*U44),0)</f>
        <v>0</v>
      </c>
    </row>
    <row r="45" spans="2:24" ht="19" customHeight="1" x14ac:dyDescent="0.2">
      <c r="C45" s="145"/>
      <c r="D45" s="87"/>
      <c r="F45" s="143"/>
      <c r="H45" s="68"/>
      <c r="I45" s="273"/>
      <c r="J45" s="273" t="str">
        <f>"消費税 "&amp;DBCS(TEXT(date!$G$17*100,0))&amp;"％(F)"</f>
        <v>消費税 １０％(F)</v>
      </c>
      <c r="K45" s="298">
        <f>ROUNDDOWN(K43*date!G17,0)</f>
        <v>178</v>
      </c>
      <c r="L45" s="69"/>
      <c r="M45" s="489"/>
      <c r="N45" s="490"/>
      <c r="O45" s="524"/>
      <c r="P45" s="472"/>
      <c r="Q45" s="408">
        <f>IF($D$42=1,(15*$E$40)+1,(30*$E$40)+1)</f>
        <v>31</v>
      </c>
      <c r="R45" s="254" t="s">
        <v>37</v>
      </c>
      <c r="S45" s="255">
        <f>IF($D$42=1,30*$E$40,60*$E$40)</f>
        <v>60</v>
      </c>
      <c r="T45" s="154" t="s">
        <v>57</v>
      </c>
      <c r="U45" s="246">
        <v>110</v>
      </c>
      <c r="V45" s="153">
        <f>IF(D46="あり",IF($D$44&lt;Q46,IF($D$44&lt;Q45,0,($D$44-S44)*U45),(S45-S44)*U45),0)</f>
        <v>0</v>
      </c>
    </row>
    <row r="46" spans="2:24" ht="19" customHeight="1" thickBot="1" x14ac:dyDescent="0.25">
      <c r="B46" s="76" t="s">
        <v>39</v>
      </c>
      <c r="C46" s="146"/>
      <c r="D46" s="11" t="s">
        <v>7</v>
      </c>
      <c r="E46" s="88"/>
      <c r="F46" s="143"/>
      <c r="H46" s="68"/>
      <c r="I46" s="273"/>
      <c r="J46" s="86" t="s">
        <v>84</v>
      </c>
      <c r="K46" s="270"/>
      <c r="L46" s="69"/>
      <c r="M46" s="183"/>
      <c r="N46" s="183"/>
      <c r="O46" s="524"/>
      <c r="P46" s="472"/>
      <c r="Q46" s="408">
        <f>IF($D$42=1,(30*$E$40)+1,(60*$E$40)+1)</f>
        <v>61</v>
      </c>
      <c r="R46" s="254" t="s">
        <v>37</v>
      </c>
      <c r="S46" s="255">
        <f>IF($D$42=1,100*$E$40,200*$E$40)</f>
        <v>200</v>
      </c>
      <c r="T46" s="154" t="s">
        <v>57</v>
      </c>
      <c r="U46" s="246">
        <v>150</v>
      </c>
      <c r="V46" s="153">
        <f>IF(D46="あり",IF($D$44&lt;Q47,IF($D$44&lt;Q46,0,($D$44-S45)*U46),(S46-S45)*U46),0)</f>
        <v>0</v>
      </c>
    </row>
    <row r="47" spans="2:24" ht="19" customHeight="1" thickBot="1" x14ac:dyDescent="0.25">
      <c r="C47" s="147"/>
      <c r="D47" s="148"/>
      <c r="E47" s="148"/>
      <c r="F47" s="149"/>
      <c r="H47" s="68"/>
      <c r="I47" s="467" t="s">
        <v>87</v>
      </c>
      <c r="J47" s="478"/>
      <c r="K47" s="78">
        <f>SUM(K43,K45)</f>
        <v>1958</v>
      </c>
      <c r="L47" s="300" t="s">
        <v>86</v>
      </c>
      <c r="M47" s="183"/>
      <c r="N47" s="183"/>
      <c r="O47" s="524"/>
      <c r="P47" s="472"/>
      <c r="Q47" s="408">
        <f>IF($D$42=1,(100*$E$40)+1,(200*$E$40)+1)</f>
        <v>201</v>
      </c>
      <c r="R47" s="254" t="s">
        <v>37</v>
      </c>
      <c r="S47" s="255">
        <f>IF($D$42=1,500*$E$40,1000*$E$40)</f>
        <v>1000</v>
      </c>
      <c r="T47" s="154" t="s">
        <v>57</v>
      </c>
      <c r="U47" s="246">
        <v>160</v>
      </c>
      <c r="V47" s="153">
        <f>IF(D46="あり",IF($D$44&lt;Q48,IF($D$44&lt;Q47,0,($D$44-S46)*U47),(S47-S46)*U47),0)</f>
        <v>0</v>
      </c>
    </row>
    <row r="48" spans="2:24" ht="19" customHeight="1" x14ac:dyDescent="0.2">
      <c r="H48" s="80"/>
      <c r="I48" s="89"/>
      <c r="J48" s="90"/>
      <c r="K48" s="91"/>
      <c r="L48" s="82"/>
      <c r="M48" s="183"/>
      <c r="N48" s="183"/>
      <c r="O48" s="524"/>
      <c r="P48" s="472"/>
      <c r="Q48" s="408">
        <f>IF($D$42=1,(500*$E$40)+1,(1000*$E$40)+1)</f>
        <v>1001</v>
      </c>
      <c r="R48" s="254" t="s">
        <v>37</v>
      </c>
      <c r="S48" s="255">
        <f>IF($D$42=1,1000*$E$40,2000*$E$40)</f>
        <v>2000</v>
      </c>
      <c r="T48" s="154" t="s">
        <v>57</v>
      </c>
      <c r="U48" s="246">
        <v>170</v>
      </c>
      <c r="V48" s="153">
        <f>IF(D46="あり",IF($D$44&lt;Q49,IF($D$44&lt;Q48,0,($D$44-S47)*U48),(S48-S47)*U48),0)</f>
        <v>0</v>
      </c>
    </row>
    <row r="49" spans="1:24" ht="19" customHeight="1" x14ac:dyDescent="0.2">
      <c r="K49" s="92"/>
      <c r="L49" s="183"/>
      <c r="M49" s="183"/>
      <c r="N49" s="183"/>
      <c r="O49" s="524"/>
      <c r="P49" s="396"/>
      <c r="Q49" s="408">
        <f>IF($D$42=1,(1000*$E$40)+1,(2000*$E$40)+1)</f>
        <v>2001</v>
      </c>
      <c r="R49" s="254" t="s">
        <v>37</v>
      </c>
      <c r="S49" s="255">
        <f>IF($D$42=1,5000*$E$40,10000*$E$40)</f>
        <v>10000</v>
      </c>
      <c r="T49" s="154" t="s">
        <v>57</v>
      </c>
      <c r="U49" s="246">
        <v>180</v>
      </c>
      <c r="V49" s="153">
        <f>IF(D46="あり",IF($D$44&lt;Q50,IF($D$44&lt;Q49,0,($D$44-S48)*U49),(S49-S48)*U49),0)</f>
        <v>0</v>
      </c>
    </row>
    <row r="50" spans="1:24" ht="19" customHeight="1" x14ac:dyDescent="0.2">
      <c r="B50" s="479" t="s">
        <v>95</v>
      </c>
      <c r="C50" s="533"/>
      <c r="D50" s="533"/>
      <c r="E50" s="533"/>
      <c r="F50" s="533"/>
      <c r="G50" s="535">
        <f>SUM(K38,K47)</f>
        <v>5522</v>
      </c>
      <c r="H50" s="536"/>
      <c r="I50" s="536"/>
      <c r="J50" s="536"/>
      <c r="L50" s="183"/>
      <c r="M50" s="183"/>
      <c r="N50" s="183"/>
      <c r="P50" s="396"/>
      <c r="Q50" s="408">
        <f>IF($D$42=1,(5000*$E$40)+1,(10000*$E$40)+1)</f>
        <v>10001</v>
      </c>
      <c r="R50" s="254" t="s">
        <v>37</v>
      </c>
      <c r="S50" s="255">
        <f>IF($D$42=1,10000*$E$40,20000*$E$40)</f>
        <v>20000</v>
      </c>
      <c r="T50" s="154" t="s">
        <v>57</v>
      </c>
      <c r="U50" s="246">
        <v>195</v>
      </c>
      <c r="V50" s="153">
        <f>IF(D46="あり",IF($D$44&lt;Q51,IF($D$44&lt;Q50,0,($D$44-S49)*U50),(S50-S49)*U50),0)</f>
        <v>0</v>
      </c>
    </row>
    <row r="51" spans="1:24" ht="19" customHeight="1" thickBot="1" x14ac:dyDescent="0.25">
      <c r="B51" s="534"/>
      <c r="C51" s="534"/>
      <c r="D51" s="534"/>
      <c r="E51" s="534"/>
      <c r="F51" s="534"/>
      <c r="G51" s="537"/>
      <c r="H51" s="537"/>
      <c r="I51" s="537"/>
      <c r="J51" s="537"/>
      <c r="L51" s="183"/>
      <c r="M51" s="183"/>
      <c r="N51" s="183"/>
      <c r="P51" s="155"/>
      <c r="Q51" s="395">
        <f>IF($D$42=1,(10000*$E$40)+1,(20000*$E$40)+1)</f>
        <v>20001</v>
      </c>
      <c r="R51" s="459" t="s">
        <v>61</v>
      </c>
      <c r="S51" s="459"/>
      <c r="T51" s="180"/>
      <c r="U51" s="246">
        <v>200</v>
      </c>
      <c r="V51" s="153">
        <f>IF($D$44&gt;S50,(D44-S50)*U51,0)</f>
        <v>0</v>
      </c>
    </row>
    <row r="52" spans="1:24" ht="19" customHeight="1" x14ac:dyDescent="0.2">
      <c r="L52" s="183"/>
      <c r="M52" s="183"/>
      <c r="N52" s="183"/>
      <c r="Q52" s="57"/>
      <c r="R52" s="57"/>
      <c r="S52" s="57"/>
      <c r="T52" s="57"/>
      <c r="U52" s="58"/>
      <c r="V52" s="59"/>
    </row>
    <row r="53" spans="1:24" s="53" customFormat="1" ht="19" customHeight="1" x14ac:dyDescent="0.2">
      <c r="L53" s="266"/>
      <c r="M53" s="266"/>
      <c r="N53" s="266"/>
      <c r="Q53" s="75"/>
      <c r="R53" s="75"/>
      <c r="S53" s="75"/>
      <c r="T53" s="75"/>
      <c r="V53" s="266"/>
      <c r="W53" s="266"/>
      <c r="X53" s="64"/>
    </row>
    <row r="54" spans="1:24" s="285" customFormat="1" ht="19" customHeight="1" thickBot="1" x14ac:dyDescent="0.25">
      <c r="L54" s="286"/>
      <c r="M54" s="286"/>
      <c r="N54" s="286"/>
      <c r="Q54" s="287"/>
      <c r="R54" s="287"/>
      <c r="S54" s="287"/>
      <c r="T54" s="287"/>
      <c r="V54" s="286"/>
      <c r="W54" s="286"/>
      <c r="X54" s="288"/>
    </row>
    <row r="55" spans="1:24" ht="19" customHeight="1" thickBo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62"/>
      <c r="M55" s="176"/>
      <c r="N55" s="176"/>
      <c r="O55" s="18"/>
      <c r="P55" s="18"/>
      <c r="Q55" s="17"/>
      <c r="R55" s="17"/>
      <c r="S55" s="17"/>
      <c r="T55" s="17"/>
      <c r="U55" s="18"/>
      <c r="V55" s="176"/>
      <c r="W55" s="93"/>
    </row>
    <row r="56" spans="1:24" s="15" customFormat="1" ht="19" customHeight="1" x14ac:dyDescent="0.2">
      <c r="A56" s="18"/>
      <c r="B56" s="18"/>
      <c r="C56" s="18"/>
      <c r="D56" s="18"/>
      <c r="E56" s="18"/>
      <c r="F56" s="18"/>
      <c r="G56" s="18"/>
      <c r="H56" s="18"/>
      <c r="I56" s="501" t="s">
        <v>40</v>
      </c>
      <c r="J56" s="501"/>
      <c r="K56" s="18"/>
      <c r="L56" s="176"/>
      <c r="M56" s="262"/>
      <c r="N56" s="262"/>
      <c r="O56" s="18"/>
      <c r="P56" s="18"/>
      <c r="Q56" s="17"/>
      <c r="R56" s="17"/>
      <c r="S56" s="17"/>
      <c r="T56" s="17"/>
      <c r="U56" s="18"/>
      <c r="V56" s="262"/>
      <c r="W56" s="94"/>
      <c r="X56" s="19"/>
    </row>
    <row r="57" spans="1:24" s="15" customFormat="1" ht="19" customHeight="1" x14ac:dyDescent="0.2">
      <c r="A57" s="18"/>
      <c r="B57" s="495" t="s">
        <v>75</v>
      </c>
      <c r="C57" s="526"/>
      <c r="D57" s="526"/>
      <c r="E57" s="18"/>
      <c r="F57" s="18"/>
      <c r="G57" s="18"/>
      <c r="H57" s="21"/>
      <c r="I57" s="501"/>
      <c r="J57" s="501"/>
      <c r="K57" s="95"/>
      <c r="L57" s="23"/>
      <c r="M57" s="176"/>
      <c r="N57" s="176"/>
      <c r="O57" s="18"/>
      <c r="P57" s="18"/>
      <c r="Q57" s="17"/>
      <c r="R57" s="17"/>
      <c r="S57" s="17"/>
      <c r="T57" s="17"/>
      <c r="U57" s="18"/>
      <c r="V57" s="262"/>
      <c r="W57" s="176"/>
      <c r="X57" s="19"/>
    </row>
    <row r="58" spans="1:24" s="15" customFormat="1" ht="19" customHeight="1" x14ac:dyDescent="0.2">
      <c r="A58" s="18"/>
      <c r="B58" s="526"/>
      <c r="C58" s="526"/>
      <c r="D58" s="526"/>
      <c r="E58" s="96"/>
      <c r="F58" s="18"/>
      <c r="G58" s="18"/>
      <c r="H58" s="27"/>
      <c r="I58" s="18"/>
      <c r="J58" s="18"/>
      <c r="K58" s="18"/>
      <c r="L58" s="28"/>
      <c r="M58" s="176"/>
      <c r="N58" s="176"/>
      <c r="O58" s="18"/>
      <c r="P58" s="18"/>
      <c r="Q58" s="17"/>
      <c r="R58" s="17"/>
      <c r="S58" s="17"/>
      <c r="T58" s="17"/>
      <c r="U58" s="18"/>
      <c r="V58" s="262"/>
      <c r="W58" s="176"/>
      <c r="X58" s="19"/>
    </row>
    <row r="59" spans="1:24" s="15" customFormat="1" ht="19" customHeight="1" x14ac:dyDescent="0.2">
      <c r="A59" s="18"/>
      <c r="B59" s="174"/>
      <c r="C59" s="174"/>
      <c r="D59" s="174"/>
      <c r="E59" s="96"/>
      <c r="F59" s="18"/>
      <c r="G59" s="18"/>
      <c r="H59" s="27"/>
      <c r="I59" s="264"/>
      <c r="J59" s="264" t="s">
        <v>90</v>
      </c>
      <c r="K59" s="294">
        <f>(VLOOKUP(D63,準備料金2,2,0))*D65</f>
        <v>13800</v>
      </c>
      <c r="L59" s="28"/>
      <c r="P59" s="97"/>
      <c r="Q59" s="98"/>
      <c r="R59" s="98"/>
      <c r="S59" s="98"/>
      <c r="T59" s="98"/>
      <c r="U59" s="99"/>
      <c r="V59" s="100"/>
      <c r="W59" s="176"/>
      <c r="X59" s="19"/>
    </row>
    <row r="60" spans="1:24" s="15" customFormat="1" ht="19" customHeight="1" x14ac:dyDescent="0.2">
      <c r="A60" s="18"/>
      <c r="B60" s="17"/>
      <c r="C60" s="17"/>
      <c r="D60" s="18"/>
      <c r="E60" s="18"/>
      <c r="F60" s="18"/>
      <c r="G60" s="18"/>
      <c r="H60" s="27"/>
      <c r="I60" s="264"/>
      <c r="J60" s="43" t="s">
        <v>83</v>
      </c>
      <c r="K60" s="176"/>
      <c r="L60" s="28"/>
      <c r="O60" s="462" t="s">
        <v>78</v>
      </c>
      <c r="P60" s="265"/>
      <c r="Q60" s="511" t="s">
        <v>71</v>
      </c>
      <c r="R60" s="512"/>
      <c r="S60" s="512"/>
      <c r="T60" s="24"/>
      <c r="U60" s="25" t="s">
        <v>27</v>
      </c>
      <c r="V60" s="26" t="s">
        <v>28</v>
      </c>
      <c r="W60" s="176"/>
      <c r="X60" s="19"/>
    </row>
    <row r="61" spans="1:24" s="15" customFormat="1" ht="19" customHeight="1" x14ac:dyDescent="0.2">
      <c r="A61" s="18"/>
      <c r="B61" s="17"/>
      <c r="C61" s="506" t="s">
        <v>38</v>
      </c>
      <c r="D61" s="507"/>
      <c r="E61" s="507"/>
      <c r="F61" s="18"/>
      <c r="G61" s="18"/>
      <c r="H61" s="27"/>
      <c r="I61" s="264"/>
      <c r="J61" s="264" t="s">
        <v>91</v>
      </c>
      <c r="K61" s="294">
        <f>$V$61</f>
        <v>0</v>
      </c>
      <c r="L61" s="28"/>
      <c r="M61" s="509" t="s">
        <v>53</v>
      </c>
      <c r="N61" s="510"/>
      <c r="O61" s="463"/>
      <c r="P61" s="293"/>
      <c r="Q61" s="99">
        <v>1</v>
      </c>
      <c r="R61" s="475" t="s">
        <v>76</v>
      </c>
      <c r="S61" s="476"/>
      <c r="T61" s="177"/>
      <c r="U61" s="241">
        <v>80</v>
      </c>
      <c r="V61" s="29">
        <f>D67*U61</f>
        <v>0</v>
      </c>
      <c r="W61" s="176"/>
      <c r="X61" s="19"/>
    </row>
    <row r="62" spans="1:24" s="15" customFormat="1" ht="19" customHeight="1" x14ac:dyDescent="0.2">
      <c r="A62" s="18"/>
      <c r="B62" s="17"/>
      <c r="C62" s="129"/>
      <c r="D62" s="130"/>
      <c r="E62" s="131"/>
      <c r="F62" s="18"/>
      <c r="G62" s="18"/>
      <c r="H62" s="27"/>
      <c r="I62" s="264"/>
      <c r="J62" s="43" t="s">
        <v>83</v>
      </c>
      <c r="K62" s="269"/>
      <c r="L62" s="28"/>
      <c r="M62" s="176"/>
      <c r="N62" s="176"/>
      <c r="O62" s="463"/>
      <c r="P62" s="293"/>
      <c r="Q62" s="177"/>
      <c r="R62" s="177"/>
      <c r="S62" s="177"/>
      <c r="T62" s="177"/>
      <c r="U62" s="101"/>
      <c r="V62" s="29"/>
      <c r="W62" s="176"/>
      <c r="X62" s="19"/>
    </row>
    <row r="63" spans="1:24" s="15" customFormat="1" ht="19" customHeight="1" x14ac:dyDescent="0.2">
      <c r="A63" s="18"/>
      <c r="B63" s="31" t="s">
        <v>23</v>
      </c>
      <c r="C63" s="132"/>
      <c r="D63" s="8" t="s">
        <v>97</v>
      </c>
      <c r="E63" s="133" t="s">
        <v>51</v>
      </c>
      <c r="F63" s="18"/>
      <c r="G63" s="18"/>
      <c r="H63" s="27"/>
      <c r="I63" s="264"/>
      <c r="J63" s="264" t="str">
        <f>"消費税 "&amp;DBCS(TEXT(date!$G$17*100,0))&amp;"％(C)"</f>
        <v>消費税 １０％(C)</v>
      </c>
      <c r="K63" s="294">
        <f>ROUNDDOWN(SUM(K59,K61)*date!G17,0)</f>
        <v>1380</v>
      </c>
      <c r="L63" s="28"/>
      <c r="M63" s="176"/>
      <c r="N63" s="176"/>
      <c r="O63" s="463"/>
      <c r="P63" s="267"/>
      <c r="Q63" s="98"/>
      <c r="R63" s="98"/>
      <c r="S63" s="98"/>
      <c r="T63" s="98"/>
      <c r="U63" s="99"/>
      <c r="V63" s="100"/>
      <c r="W63" s="176"/>
      <c r="X63" s="19"/>
    </row>
    <row r="64" spans="1:24" s="15" customFormat="1" ht="19" customHeight="1" thickBot="1" x14ac:dyDescent="0.25">
      <c r="A64" s="18"/>
      <c r="B64" s="176"/>
      <c r="C64" s="134"/>
      <c r="D64" s="18"/>
      <c r="E64" s="133"/>
      <c r="F64" s="18"/>
      <c r="G64" s="18"/>
      <c r="H64" s="27"/>
      <c r="I64" s="264"/>
      <c r="J64" s="43" t="s">
        <v>84</v>
      </c>
      <c r="K64" s="269"/>
      <c r="L64" s="28"/>
      <c r="M64" s="176"/>
      <c r="N64" s="176"/>
      <c r="O64" s="463"/>
      <c r="P64" s="260"/>
      <c r="Q64" s="17"/>
      <c r="R64" s="17"/>
      <c r="S64" s="17"/>
      <c r="T64" s="17"/>
      <c r="U64" s="18"/>
      <c r="V64" s="176"/>
      <c r="W64" s="176"/>
      <c r="X64" s="19"/>
    </row>
    <row r="65" spans="1:24" s="15" customFormat="1" ht="19" customHeight="1" thickBot="1" x14ac:dyDescent="0.25">
      <c r="A65" s="18"/>
      <c r="B65" s="31" t="s">
        <v>24</v>
      </c>
      <c r="C65" s="132"/>
      <c r="D65" s="9">
        <v>2</v>
      </c>
      <c r="E65" s="133" t="s">
        <v>26</v>
      </c>
      <c r="F65" s="18"/>
      <c r="G65" s="18"/>
      <c r="H65" s="27"/>
      <c r="I65" s="465" t="s">
        <v>82</v>
      </c>
      <c r="J65" s="522"/>
      <c r="K65" s="102">
        <f>SUM(K59,K61,K63)</f>
        <v>15180</v>
      </c>
      <c r="L65" s="301" t="s">
        <v>88</v>
      </c>
      <c r="M65" s="176"/>
      <c r="N65" s="176"/>
      <c r="O65" s="18"/>
      <c r="P65" s="18"/>
      <c r="Q65" s="17"/>
      <c r="R65" s="17"/>
      <c r="S65" s="17"/>
      <c r="T65" s="17"/>
      <c r="U65" s="18"/>
      <c r="V65" s="176"/>
      <c r="W65" s="176"/>
      <c r="X65" s="19"/>
    </row>
    <row r="66" spans="1:24" s="15" customFormat="1" ht="19" customHeight="1" x14ac:dyDescent="0.2">
      <c r="A66" s="18"/>
      <c r="B66" s="176"/>
      <c r="C66" s="134"/>
      <c r="D66" s="18"/>
      <c r="E66" s="133"/>
      <c r="F66" s="18"/>
      <c r="G66" s="18"/>
      <c r="H66" s="33"/>
      <c r="I66" s="103"/>
      <c r="J66" s="104"/>
      <c r="K66" s="105"/>
      <c r="L66" s="37"/>
      <c r="M66" s="262"/>
      <c r="N66" s="262"/>
      <c r="O66" s="18"/>
      <c r="P66" s="18"/>
      <c r="Q66" s="17"/>
      <c r="R66" s="17"/>
      <c r="S66" s="17"/>
      <c r="T66" s="17"/>
      <c r="U66" s="18"/>
      <c r="V66" s="262"/>
      <c r="W66" s="176"/>
      <c r="X66" s="19"/>
    </row>
    <row r="67" spans="1:24" s="15" customFormat="1" ht="19" customHeight="1" x14ac:dyDescent="0.2">
      <c r="A67" s="18"/>
      <c r="B67" s="31" t="s">
        <v>71</v>
      </c>
      <c r="C67" s="135"/>
      <c r="D67" s="10">
        <v>0</v>
      </c>
      <c r="E67" s="133" t="s">
        <v>50</v>
      </c>
      <c r="F67" s="18"/>
      <c r="G67" s="18"/>
      <c r="H67" s="18"/>
      <c r="I67" s="503" t="s">
        <v>73</v>
      </c>
      <c r="J67" s="503"/>
      <c r="K67" s="18"/>
      <c r="L67" s="176"/>
      <c r="M67" s="262"/>
      <c r="N67" s="262"/>
      <c r="P67" s="156"/>
      <c r="Q67" s="157"/>
      <c r="R67" s="157"/>
      <c r="S67" s="157"/>
      <c r="T67" s="157"/>
      <c r="U67" s="158"/>
      <c r="V67" s="159"/>
      <c r="W67" s="176"/>
      <c r="X67" s="19"/>
    </row>
    <row r="68" spans="1:24" s="15" customFormat="1" ht="19" customHeight="1" x14ac:dyDescent="0.2">
      <c r="A68" s="18"/>
      <c r="B68" s="176"/>
      <c r="C68" s="134"/>
      <c r="D68" s="106"/>
      <c r="E68" s="133"/>
      <c r="F68" s="18"/>
      <c r="G68" s="18"/>
      <c r="H68" s="21"/>
      <c r="I68" s="503"/>
      <c r="J68" s="503"/>
      <c r="K68" s="95"/>
      <c r="L68" s="23"/>
      <c r="M68" s="176"/>
      <c r="N68" s="176"/>
      <c r="O68" s="529" t="s">
        <v>74</v>
      </c>
      <c r="P68" s="513"/>
      <c r="Q68" s="516" t="s">
        <v>71</v>
      </c>
      <c r="R68" s="518"/>
      <c r="S68" s="518"/>
      <c r="T68" s="124"/>
      <c r="U68" s="125" t="s">
        <v>27</v>
      </c>
      <c r="V68" s="126" t="s">
        <v>28</v>
      </c>
      <c r="W68" s="176"/>
      <c r="X68" s="19"/>
    </row>
    <row r="69" spans="1:24" s="15" customFormat="1" ht="19" customHeight="1" x14ac:dyDescent="0.2">
      <c r="A69" s="18"/>
      <c r="B69" s="31" t="s">
        <v>39</v>
      </c>
      <c r="C69" s="132"/>
      <c r="D69" s="11" t="s">
        <v>7</v>
      </c>
      <c r="E69" s="161"/>
      <c r="F69" s="18"/>
      <c r="G69" s="18"/>
      <c r="H69" s="27"/>
      <c r="I69" s="18"/>
      <c r="J69" s="18"/>
      <c r="K69" s="18"/>
      <c r="L69" s="28"/>
      <c r="M69" s="176"/>
      <c r="N69" s="176"/>
      <c r="O69" s="463"/>
      <c r="P69" s="514"/>
      <c r="Q69" s="249">
        <f>IF($D$65=1,300,600)</f>
        <v>600</v>
      </c>
      <c r="R69" s="519" t="s">
        <v>63</v>
      </c>
      <c r="S69" s="519"/>
      <c r="T69" s="179"/>
      <c r="U69" s="238">
        <f>IF($D$65=1,9000,18000)</f>
        <v>18000</v>
      </c>
      <c r="V69" s="127">
        <f>IF(D69="あり",IF($D$67&lt;Q69,U69,U69),0)</f>
        <v>18000</v>
      </c>
      <c r="W69" s="176"/>
      <c r="X69" s="19"/>
    </row>
    <row r="70" spans="1:24" s="15" customFormat="1" ht="19" customHeight="1" x14ac:dyDescent="0.2">
      <c r="A70" s="18"/>
      <c r="B70" s="176"/>
      <c r="C70" s="136"/>
      <c r="D70" s="137"/>
      <c r="E70" s="138"/>
      <c r="F70" s="18"/>
      <c r="G70" s="18"/>
      <c r="H70" s="27"/>
      <c r="I70" s="465" t="s">
        <v>92</v>
      </c>
      <c r="J70" s="465"/>
      <c r="K70" s="295">
        <f>IF(D69="なし",0,SUM(V69:V70))</f>
        <v>18000</v>
      </c>
      <c r="L70" s="28"/>
      <c r="M70" s="509" t="s">
        <v>52</v>
      </c>
      <c r="N70" s="510"/>
      <c r="O70" s="463"/>
      <c r="P70" s="514"/>
      <c r="Q70" s="249">
        <f>IF($D$65=1,300+1,600+1)</f>
        <v>601</v>
      </c>
      <c r="R70" s="519" t="s">
        <v>61</v>
      </c>
      <c r="S70" s="519"/>
      <c r="T70" s="179"/>
      <c r="U70" s="243">
        <v>35</v>
      </c>
      <c r="V70" s="127">
        <f>IF(D69="あり",IF($D$67&gt;Q69,($D$67-Q69)*U70,0),0)</f>
        <v>0</v>
      </c>
      <c r="W70" s="176"/>
      <c r="X70" s="19"/>
    </row>
    <row r="71" spans="1:24" s="15" customFormat="1" ht="19" customHeight="1" x14ac:dyDescent="0.2">
      <c r="A71" s="18"/>
      <c r="B71" s="176"/>
      <c r="C71" s="176"/>
      <c r="D71" s="42"/>
      <c r="E71" s="18"/>
      <c r="F71" s="18"/>
      <c r="G71" s="18"/>
      <c r="H71" s="27"/>
      <c r="I71" s="264"/>
      <c r="J71" s="43" t="s">
        <v>83</v>
      </c>
      <c r="K71" s="269"/>
      <c r="L71" s="28"/>
      <c r="O71" s="463"/>
      <c r="P71" s="514"/>
      <c r="Q71" s="157"/>
      <c r="R71" s="157"/>
      <c r="S71" s="157"/>
      <c r="T71" s="157"/>
      <c r="U71" s="158"/>
      <c r="V71" s="159"/>
      <c r="W71" s="176"/>
      <c r="X71" s="19"/>
    </row>
    <row r="72" spans="1:24" s="15" customFormat="1" ht="19" customHeight="1" x14ac:dyDescent="0.2">
      <c r="A72" s="18"/>
      <c r="B72" s="176"/>
      <c r="C72" s="176"/>
      <c r="D72" s="42"/>
      <c r="E72" s="18"/>
      <c r="F72" s="18"/>
      <c r="G72" s="18"/>
      <c r="H72" s="27"/>
      <c r="I72" s="264"/>
      <c r="J72" s="264" t="str">
        <f>"消費税 "&amp;DBCS(TEXT(date!$G$17*100,0))&amp;"％(F)"</f>
        <v>消費税 １０％(F)</v>
      </c>
      <c r="K72" s="295">
        <f>ROUNDDOWN(K70*date!G17,0)</f>
        <v>1800</v>
      </c>
      <c r="L72" s="28"/>
      <c r="M72" s="176"/>
      <c r="N72" s="176"/>
      <c r="O72" s="463"/>
      <c r="P72" s="160"/>
      <c r="Q72" s="157"/>
      <c r="R72" s="157"/>
      <c r="S72" s="157"/>
      <c r="T72" s="157"/>
      <c r="U72" s="158"/>
      <c r="V72" s="159"/>
      <c r="W72" s="176"/>
      <c r="X72" s="19"/>
    </row>
    <row r="73" spans="1:24" s="15" customFormat="1" ht="19" customHeight="1" thickBot="1" x14ac:dyDescent="0.25">
      <c r="A73" s="18"/>
      <c r="B73" s="176"/>
      <c r="C73" s="176"/>
      <c r="D73" s="42"/>
      <c r="E73" s="18"/>
      <c r="F73" s="18"/>
      <c r="G73" s="18"/>
      <c r="H73" s="27"/>
      <c r="I73" s="43"/>
      <c r="J73" s="43" t="s">
        <v>84</v>
      </c>
      <c r="K73" s="269"/>
      <c r="L73" s="28"/>
      <c r="M73" s="176"/>
      <c r="N73" s="176"/>
      <c r="O73" s="463"/>
      <c r="P73" s="18"/>
      <c r="Q73" s="17"/>
      <c r="R73" s="17"/>
      <c r="S73" s="17"/>
      <c r="T73" s="17"/>
      <c r="U73" s="18"/>
      <c r="V73" s="176"/>
      <c r="W73" s="176"/>
      <c r="X73" s="19"/>
    </row>
    <row r="74" spans="1:24" s="15" customFormat="1" ht="19" customHeight="1" thickBot="1" x14ac:dyDescent="0.25">
      <c r="A74" s="18"/>
      <c r="B74" s="176"/>
      <c r="C74" s="176"/>
      <c r="D74" s="42"/>
      <c r="E74" s="18"/>
      <c r="F74" s="18"/>
      <c r="G74" s="18"/>
      <c r="H74" s="27"/>
      <c r="I74" s="465" t="s">
        <v>85</v>
      </c>
      <c r="J74" s="466"/>
      <c r="K74" s="107">
        <f>SUM(K70,K72)</f>
        <v>19800</v>
      </c>
      <c r="L74" s="301" t="s">
        <v>86</v>
      </c>
      <c r="M74" s="176"/>
      <c r="N74" s="176"/>
      <c r="O74" s="18"/>
      <c r="P74" s="18"/>
      <c r="Q74" s="17"/>
      <c r="R74" s="17"/>
      <c r="S74" s="17"/>
      <c r="T74" s="17"/>
      <c r="U74" s="18"/>
      <c r="V74" s="176"/>
      <c r="W74" s="176"/>
      <c r="X74" s="19"/>
    </row>
    <row r="75" spans="1:24" s="15" customFormat="1" ht="19" customHeight="1" x14ac:dyDescent="0.2">
      <c r="A75" s="18"/>
      <c r="B75" s="262"/>
      <c r="C75" s="262"/>
      <c r="D75" s="42"/>
      <c r="E75" s="18"/>
      <c r="F75" s="18"/>
      <c r="G75" s="18"/>
      <c r="H75" s="33"/>
      <c r="I75" s="34"/>
      <c r="J75" s="35"/>
      <c r="K75" s="36"/>
      <c r="L75" s="37"/>
      <c r="M75" s="176"/>
      <c r="N75" s="176"/>
      <c r="O75" s="18"/>
      <c r="P75" s="17"/>
      <c r="Q75" s="17"/>
      <c r="R75" s="17"/>
      <c r="S75" s="17"/>
      <c r="T75" s="18"/>
      <c r="U75" s="176"/>
      <c r="V75" s="176"/>
      <c r="W75" s="176"/>
      <c r="X75" s="19"/>
    </row>
    <row r="76" spans="1:24" s="15" customFormat="1" ht="19" customHeight="1" x14ac:dyDescent="0.2">
      <c r="A76" s="18"/>
      <c r="B76" s="262"/>
      <c r="C76" s="262"/>
      <c r="D76" s="42"/>
      <c r="E76" s="18"/>
      <c r="F76" s="18"/>
      <c r="G76" s="18"/>
      <c r="H76" s="18"/>
      <c r="I76" s="262"/>
      <c r="J76" s="43"/>
      <c r="K76" s="176"/>
      <c r="L76" s="176"/>
      <c r="M76" s="176"/>
      <c r="N76" s="18"/>
      <c r="O76" s="18"/>
      <c r="P76" s="18"/>
      <c r="Q76" s="17"/>
      <c r="R76" s="17"/>
      <c r="S76" s="17"/>
      <c r="T76" s="17"/>
      <c r="U76" s="18"/>
      <c r="V76" s="176"/>
      <c r="W76" s="176"/>
    </row>
    <row r="77" spans="1:24" s="15" customFormat="1" ht="19" customHeight="1" x14ac:dyDescent="0.2">
      <c r="A77" s="18"/>
      <c r="B77" s="530" t="s">
        <v>95</v>
      </c>
      <c r="C77" s="531"/>
      <c r="D77" s="531"/>
      <c r="E77" s="531"/>
      <c r="F77" s="531"/>
      <c r="G77" s="505">
        <f>SUM(K65,K74)</f>
        <v>34980</v>
      </c>
      <c r="H77" s="469"/>
      <c r="I77" s="469"/>
      <c r="J77" s="469"/>
      <c r="K77" s="17"/>
      <c r="L77" s="176"/>
      <c r="M77" s="176"/>
      <c r="N77" s="176"/>
      <c r="O77" s="18"/>
      <c r="P77" s="18"/>
      <c r="Q77" s="17"/>
      <c r="R77" s="17"/>
      <c r="S77" s="17"/>
      <c r="T77" s="17"/>
      <c r="U77" s="18"/>
      <c r="V77" s="176"/>
      <c r="W77" s="20"/>
      <c r="X77" s="19"/>
    </row>
    <row r="78" spans="1:24" s="15" customFormat="1" ht="19" customHeight="1" thickBot="1" x14ac:dyDescent="0.25">
      <c r="A78" s="18"/>
      <c r="B78" s="532"/>
      <c r="C78" s="532"/>
      <c r="D78" s="532"/>
      <c r="E78" s="532"/>
      <c r="F78" s="532"/>
      <c r="G78" s="470"/>
      <c r="H78" s="470"/>
      <c r="I78" s="470"/>
      <c r="J78" s="470"/>
      <c r="K78" s="18"/>
      <c r="L78" s="176"/>
      <c r="M78" s="176"/>
      <c r="N78" s="176"/>
      <c r="O78" s="18"/>
      <c r="P78" s="18"/>
      <c r="Q78" s="17"/>
      <c r="R78" s="17"/>
      <c r="S78" s="17"/>
      <c r="T78" s="17"/>
      <c r="U78" s="18"/>
      <c r="V78" s="176"/>
      <c r="W78" s="176"/>
      <c r="X78" s="19"/>
    </row>
    <row r="79" spans="1:24" s="15" customFormat="1" ht="19" customHeight="1" x14ac:dyDescent="0.2">
      <c r="A79" s="18"/>
      <c r="B79" s="176"/>
      <c r="C79" s="176"/>
      <c r="D79" s="42"/>
      <c r="E79" s="18"/>
      <c r="F79" s="18"/>
      <c r="G79" s="18"/>
      <c r="H79" s="18"/>
      <c r="I79" s="18"/>
      <c r="J79" s="18"/>
      <c r="K79" s="44"/>
      <c r="L79" s="176"/>
      <c r="M79" s="176"/>
      <c r="N79" s="176"/>
      <c r="O79" s="18"/>
      <c r="P79" s="18"/>
      <c r="Q79" s="17"/>
      <c r="R79" s="17"/>
      <c r="S79" s="17"/>
      <c r="T79" s="17"/>
      <c r="U79" s="18"/>
      <c r="V79" s="262"/>
      <c r="W79" s="176"/>
      <c r="X79" s="19"/>
    </row>
    <row r="80" spans="1:24" s="18" customFormat="1" ht="19" customHeight="1" x14ac:dyDescent="0.2">
      <c r="B80" s="262"/>
      <c r="C80" s="262"/>
      <c r="D80" s="42"/>
      <c r="K80" s="108"/>
      <c r="L80" s="262"/>
      <c r="M80" s="262"/>
      <c r="N80" s="262"/>
      <c r="Q80" s="17"/>
      <c r="R80" s="17"/>
      <c r="S80" s="17"/>
      <c r="T80" s="17"/>
      <c r="V80" s="262"/>
      <c r="W80" s="262"/>
      <c r="X80" s="20"/>
    </row>
    <row r="81" spans="2:24" s="275" customFormat="1" ht="19" customHeight="1" thickBot="1" x14ac:dyDescent="0.25">
      <c r="B81" s="276"/>
      <c r="C81" s="276"/>
      <c r="D81" s="277"/>
      <c r="I81" s="276"/>
      <c r="J81" s="289"/>
      <c r="L81" s="276"/>
      <c r="M81" s="276"/>
      <c r="N81" s="276"/>
      <c r="Q81" s="290"/>
      <c r="R81" s="290"/>
      <c r="S81" s="290"/>
      <c r="T81" s="290"/>
      <c r="V81" s="276"/>
      <c r="W81" s="276"/>
      <c r="X81" s="284"/>
    </row>
    <row r="82" spans="2:24" ht="19" customHeight="1" thickBot="1" x14ac:dyDescent="0.25">
      <c r="W82" s="109"/>
    </row>
    <row r="83" spans="2:24" ht="19" customHeight="1" x14ac:dyDescent="0.2">
      <c r="I83" s="499" t="s">
        <v>40</v>
      </c>
      <c r="J83" s="538"/>
      <c r="L83" s="183"/>
      <c r="W83" s="51"/>
    </row>
    <row r="84" spans="2:24" ht="19" customHeight="1" x14ac:dyDescent="0.2">
      <c r="B84" s="497" t="s">
        <v>79</v>
      </c>
      <c r="C84" s="497"/>
      <c r="D84" s="497"/>
      <c r="G84" s="110"/>
      <c r="H84" s="111"/>
      <c r="I84" s="538"/>
      <c r="J84" s="538"/>
      <c r="K84" s="84"/>
      <c r="L84" s="67"/>
      <c r="M84" s="183"/>
      <c r="N84" s="183"/>
    </row>
    <row r="85" spans="2:24" ht="19" customHeight="1" x14ac:dyDescent="0.2">
      <c r="B85" s="497"/>
      <c r="C85" s="497"/>
      <c r="D85" s="497"/>
      <c r="G85" s="110"/>
      <c r="L85" s="69"/>
      <c r="M85" s="183"/>
      <c r="N85" s="183"/>
    </row>
    <row r="86" spans="2:24" ht="19" customHeight="1" x14ac:dyDescent="0.2">
      <c r="G86" s="110"/>
      <c r="I86" s="273"/>
      <c r="J86" s="273" t="s">
        <v>90</v>
      </c>
      <c r="K86" s="296">
        <f>(VLOOKUP(D89,準備料金,2,0))*D91</f>
        <v>2240</v>
      </c>
      <c r="L86" s="69"/>
      <c r="M86" s="183"/>
      <c r="N86" s="183"/>
      <c r="O86" s="52"/>
      <c r="P86" s="112"/>
      <c r="Q86" s="113"/>
      <c r="R86" s="113"/>
      <c r="S86" s="113"/>
      <c r="T86" s="113"/>
      <c r="U86" s="112"/>
      <c r="V86" s="114"/>
    </row>
    <row r="87" spans="2:24" ht="19" customHeight="1" x14ac:dyDescent="0.2">
      <c r="B87" s="75"/>
      <c r="C87" s="482" t="s">
        <v>38</v>
      </c>
      <c r="D87" s="483"/>
      <c r="E87" s="483"/>
      <c r="G87" s="110"/>
      <c r="I87" s="273"/>
      <c r="J87" s="86" t="s">
        <v>83</v>
      </c>
      <c r="K87" s="183"/>
      <c r="L87" s="69"/>
      <c r="O87" s="464" t="s">
        <v>78</v>
      </c>
      <c r="P87" s="527"/>
      <c r="Q87" s="473" t="s">
        <v>71</v>
      </c>
      <c r="R87" s="474"/>
      <c r="S87" s="474"/>
      <c r="T87" s="173"/>
      <c r="U87" s="70" t="s">
        <v>27</v>
      </c>
      <c r="V87" s="85" t="s">
        <v>28</v>
      </c>
    </row>
    <row r="88" spans="2:24" ht="19" customHeight="1" x14ac:dyDescent="0.2">
      <c r="B88" s="75"/>
      <c r="C88" s="162"/>
      <c r="D88" s="140"/>
      <c r="E88" s="141"/>
      <c r="G88" s="110"/>
      <c r="I88" s="273"/>
      <c r="J88" s="273" t="s">
        <v>91</v>
      </c>
      <c r="K88" s="296">
        <f>SUM(V88:V89)</f>
        <v>0</v>
      </c>
      <c r="L88" s="69"/>
      <c r="M88" s="484" t="s">
        <v>47</v>
      </c>
      <c r="N88" s="485"/>
      <c r="O88" s="463"/>
      <c r="P88" s="528"/>
      <c r="Q88" s="252">
        <f>D91*10</f>
        <v>20</v>
      </c>
      <c r="R88" s="477" t="s">
        <v>49</v>
      </c>
      <c r="S88" s="477"/>
      <c r="T88" s="178"/>
      <c r="U88" s="244">
        <v>290</v>
      </c>
      <c r="V88" s="74">
        <f>IF(D93&lt;Q89,D93*U88,Q88*U88)</f>
        <v>0</v>
      </c>
    </row>
    <row r="89" spans="2:24" ht="19" customHeight="1" x14ac:dyDescent="0.2">
      <c r="B89" s="76" t="s">
        <v>23</v>
      </c>
      <c r="C89" s="146"/>
      <c r="D89" s="8">
        <v>20</v>
      </c>
      <c r="E89" s="143" t="s">
        <v>51</v>
      </c>
      <c r="G89" s="110"/>
      <c r="I89" s="273"/>
      <c r="J89" s="86" t="s">
        <v>83</v>
      </c>
      <c r="K89" s="270"/>
      <c r="L89" s="69"/>
      <c r="M89" s="183"/>
      <c r="N89" s="183"/>
      <c r="O89" s="463"/>
      <c r="P89" s="528"/>
      <c r="Q89" s="252">
        <f>(D91*10)+1</f>
        <v>21</v>
      </c>
      <c r="R89" s="477" t="s">
        <v>45</v>
      </c>
      <c r="S89" s="477"/>
      <c r="T89" s="178"/>
      <c r="U89" s="245">
        <v>440</v>
      </c>
      <c r="V89" s="74">
        <f>IF(D93&gt;Q88,(D93-Q88)*U89,0)</f>
        <v>0</v>
      </c>
    </row>
    <row r="90" spans="2:24" ht="19" customHeight="1" x14ac:dyDescent="0.2">
      <c r="B90" s="183"/>
      <c r="C90" s="144"/>
      <c r="E90" s="143"/>
      <c r="G90" s="110"/>
      <c r="I90" s="273"/>
      <c r="J90" s="273" t="str">
        <f>"消費税 "&amp;DBCS(TEXT(date!$G$17*100,0))&amp;"％(C)"</f>
        <v>消費税 １０％(C)</v>
      </c>
      <c r="K90" s="296">
        <f>ROUNDDOWN(SUM(K86,K88)*date!G17,0)</f>
        <v>224</v>
      </c>
      <c r="L90" s="69"/>
      <c r="M90" s="183"/>
      <c r="N90" s="183"/>
      <c r="O90" s="463"/>
      <c r="P90" s="528"/>
      <c r="Q90" s="113"/>
      <c r="R90" s="113"/>
      <c r="S90" s="113"/>
      <c r="T90" s="113"/>
      <c r="U90" s="112"/>
      <c r="V90" s="114"/>
    </row>
    <row r="91" spans="2:24" ht="19" customHeight="1" thickBot="1" x14ac:dyDescent="0.25">
      <c r="B91" s="76" t="s">
        <v>24</v>
      </c>
      <c r="C91" s="146"/>
      <c r="D91" s="9">
        <v>2</v>
      </c>
      <c r="E91" s="143" t="s">
        <v>26</v>
      </c>
      <c r="G91" s="110"/>
      <c r="I91" s="273"/>
      <c r="J91" s="86" t="s">
        <v>84</v>
      </c>
      <c r="K91" s="270"/>
      <c r="L91" s="69"/>
      <c r="O91" s="463"/>
      <c r="P91" s="115"/>
      <c r="Q91" s="113"/>
      <c r="R91" s="113"/>
      <c r="S91" s="113"/>
      <c r="T91" s="113"/>
      <c r="U91" s="112"/>
      <c r="V91" s="114"/>
    </row>
    <row r="92" spans="2:24" ht="19" customHeight="1" thickBot="1" x14ac:dyDescent="0.25">
      <c r="B92" s="183"/>
      <c r="C92" s="144"/>
      <c r="E92" s="143"/>
      <c r="H92" s="68"/>
      <c r="I92" s="467" t="s">
        <v>82</v>
      </c>
      <c r="J92" s="478"/>
      <c r="K92" s="185">
        <f>SUM(K86,K88,K90)</f>
        <v>2464</v>
      </c>
      <c r="L92" s="300" t="s">
        <v>88</v>
      </c>
      <c r="O92" s="56"/>
      <c r="P92" s="56"/>
      <c r="V92" s="183"/>
    </row>
    <row r="93" spans="2:24" ht="19" customHeight="1" x14ac:dyDescent="0.2">
      <c r="B93" s="76" t="s">
        <v>71</v>
      </c>
      <c r="C93" s="142"/>
      <c r="D93" s="10">
        <v>0</v>
      </c>
      <c r="E93" s="143" t="s">
        <v>50</v>
      </c>
      <c r="H93" s="80"/>
      <c r="I93" s="81"/>
      <c r="J93" s="81"/>
      <c r="K93" s="116"/>
      <c r="L93" s="82"/>
      <c r="O93" s="56"/>
      <c r="P93" s="56"/>
    </row>
    <row r="94" spans="2:24" ht="19" customHeight="1" x14ac:dyDescent="0.2">
      <c r="B94" s="183"/>
      <c r="C94" s="144"/>
      <c r="D94" s="118"/>
      <c r="E94" s="143"/>
      <c r="H94" s="84"/>
      <c r="I94" s="84"/>
      <c r="J94" s="84"/>
      <c r="K94" s="84"/>
      <c r="L94" s="117"/>
      <c r="O94" s="56"/>
      <c r="P94" s="56"/>
    </row>
    <row r="95" spans="2:24" ht="19" customHeight="1" x14ac:dyDescent="0.2">
      <c r="B95" s="76" t="s">
        <v>39</v>
      </c>
      <c r="C95" s="146"/>
      <c r="D95" s="11" t="s">
        <v>7</v>
      </c>
      <c r="E95" s="163"/>
      <c r="H95" s="81"/>
      <c r="I95" s="460" t="s">
        <v>73</v>
      </c>
      <c r="J95" s="525"/>
      <c r="K95" s="183"/>
      <c r="L95" s="183"/>
      <c r="M95" s="183"/>
      <c r="N95" s="183"/>
      <c r="O95" s="56"/>
      <c r="P95" s="56"/>
      <c r="V95" s="183"/>
    </row>
    <row r="96" spans="2:24" ht="19" customHeight="1" x14ac:dyDescent="0.2">
      <c r="C96" s="147"/>
      <c r="D96" s="148"/>
      <c r="E96" s="149"/>
      <c r="G96" s="110"/>
      <c r="H96" s="119"/>
      <c r="I96" s="525"/>
      <c r="J96" s="525"/>
      <c r="K96" s="120"/>
      <c r="L96" s="67"/>
      <c r="M96" s="183"/>
      <c r="N96" s="183"/>
      <c r="O96" s="480" t="s">
        <v>74</v>
      </c>
      <c r="P96" s="471"/>
      <c r="Q96" s="487" t="s">
        <v>71</v>
      </c>
      <c r="R96" s="488"/>
      <c r="S96" s="488"/>
      <c r="T96" s="150"/>
      <c r="U96" s="151" t="s">
        <v>27</v>
      </c>
      <c r="V96" s="152" t="s">
        <v>28</v>
      </c>
    </row>
    <row r="97" spans="1:23" ht="19" customHeight="1" x14ac:dyDescent="0.2">
      <c r="G97" s="110"/>
      <c r="K97" s="183"/>
      <c r="L97" s="69"/>
      <c r="M97" s="183"/>
      <c r="N97" s="183"/>
      <c r="O97" s="481"/>
      <c r="P97" s="472"/>
      <c r="Q97" s="253">
        <f>D91*5</f>
        <v>10</v>
      </c>
      <c r="R97" s="459" t="s">
        <v>63</v>
      </c>
      <c r="S97" s="459"/>
      <c r="T97" s="180"/>
      <c r="U97" s="256">
        <f>D91*640</f>
        <v>1280</v>
      </c>
      <c r="V97" s="153">
        <f>IF(D95="あり",IF($D$93&lt;Q98,U97,U97),0)</f>
        <v>1280</v>
      </c>
    </row>
    <row r="98" spans="1:23" ht="19" customHeight="1" x14ac:dyDescent="0.2">
      <c r="G98" s="110"/>
      <c r="H98" s="181"/>
      <c r="I98" s="292"/>
      <c r="J98" s="273" t="s">
        <v>89</v>
      </c>
      <c r="K98" s="298">
        <f>SUM(V97:V106)</f>
        <v>1280</v>
      </c>
      <c r="L98" s="69"/>
      <c r="M98" s="484" t="s">
        <v>47</v>
      </c>
      <c r="N98" s="485"/>
      <c r="O98" s="481"/>
      <c r="P98" s="472"/>
      <c r="Q98" s="395">
        <f>($D$91*5)+1</f>
        <v>11</v>
      </c>
      <c r="R98" s="254" t="s">
        <v>37</v>
      </c>
      <c r="S98" s="255">
        <f>$D$91*10</f>
        <v>20</v>
      </c>
      <c r="T98" s="154" t="s">
        <v>57</v>
      </c>
      <c r="U98" s="246">
        <v>70</v>
      </c>
      <c r="V98" s="153">
        <f>IF(D95="あり",IF($D$93&lt;Q99,IF($D$93&lt;Q97,0,($D$93-Q97)*U98),(S98-Q97)*U98),0)</f>
        <v>0</v>
      </c>
    </row>
    <row r="99" spans="1:23" ht="19" customHeight="1" x14ac:dyDescent="0.2">
      <c r="G99" s="110"/>
      <c r="H99" s="268"/>
      <c r="I99" s="292"/>
      <c r="J99" s="86" t="s">
        <v>93</v>
      </c>
      <c r="K99" s="270"/>
      <c r="L99" s="69"/>
      <c r="O99" s="481"/>
      <c r="P99" s="472"/>
      <c r="Q99" s="395">
        <f>($D$91*10)+1</f>
        <v>21</v>
      </c>
      <c r="R99" s="254" t="s">
        <v>37</v>
      </c>
      <c r="S99" s="255">
        <f>$D$91*15</f>
        <v>30</v>
      </c>
      <c r="T99" s="154" t="s">
        <v>57</v>
      </c>
      <c r="U99" s="246">
        <v>95</v>
      </c>
      <c r="V99" s="153">
        <f>IF(D95="あり",IF($D$93&lt;Q100,IF($D$93&lt;Q99,0,($D$93-S98)*U99),(S99-S98)*U99),0)</f>
        <v>0</v>
      </c>
    </row>
    <row r="100" spans="1:23" ht="19" customHeight="1" x14ac:dyDescent="0.2">
      <c r="A100" s="121"/>
      <c r="G100" s="110"/>
      <c r="H100" s="268"/>
      <c r="I100" s="292"/>
      <c r="J100" s="273" t="str">
        <f>"消費税 "&amp;DBCS(TEXT(date!$G$17*100,0))&amp;"％(F)"</f>
        <v>消費税 １０％(F)</v>
      </c>
      <c r="K100" s="298">
        <f>ROUNDDOWN(K98*date!G17,0)</f>
        <v>128</v>
      </c>
      <c r="L100" s="69"/>
      <c r="M100" s="183"/>
      <c r="N100" s="183"/>
      <c r="O100" s="481"/>
      <c r="P100" s="472"/>
      <c r="Q100" s="395">
        <f>($D$91*15)+1</f>
        <v>31</v>
      </c>
      <c r="R100" s="254" t="s">
        <v>37</v>
      </c>
      <c r="S100" s="255">
        <f>$D$91*30</f>
        <v>60</v>
      </c>
      <c r="T100" s="154" t="s">
        <v>57</v>
      </c>
      <c r="U100" s="246">
        <v>110</v>
      </c>
      <c r="V100" s="153">
        <f>IF(D95="あり",IF($D$93&lt;Q101,IF($D$93&lt;Q100,0,($D$93-S99)*U100),(S100-S99)*U100),0)</f>
        <v>0</v>
      </c>
    </row>
    <row r="101" spans="1:23" ht="19" customHeight="1" thickBot="1" x14ac:dyDescent="0.25">
      <c r="A101" s="121"/>
      <c r="G101" s="110"/>
      <c r="H101" s="183"/>
      <c r="I101" s="86"/>
      <c r="J101" s="299" t="s">
        <v>81</v>
      </c>
      <c r="K101" s="266"/>
      <c r="L101" s="69"/>
      <c r="M101" s="183"/>
      <c r="N101" s="183"/>
      <c r="O101" s="481"/>
      <c r="P101" s="472"/>
      <c r="Q101" s="395">
        <f>($D$91*30)+1</f>
        <v>61</v>
      </c>
      <c r="R101" s="254" t="s">
        <v>37</v>
      </c>
      <c r="S101" s="255">
        <f>$D$91*100</f>
        <v>200</v>
      </c>
      <c r="T101" s="154" t="s">
        <v>57</v>
      </c>
      <c r="U101" s="246">
        <v>150</v>
      </c>
      <c r="V101" s="153">
        <f>IF(D95="あり",IF($D$93&lt;Q102,IF($D$93&lt;Q101,0,($D$93-S100)*U101),(S101-S100)*U101),0)</f>
        <v>0</v>
      </c>
    </row>
    <row r="102" spans="1:23" ht="19" customHeight="1" thickBot="1" x14ac:dyDescent="0.25">
      <c r="A102" s="121"/>
      <c r="G102" s="110"/>
      <c r="H102" s="183"/>
      <c r="I102" s="467" t="s">
        <v>85</v>
      </c>
      <c r="J102" s="466"/>
      <c r="K102" s="78">
        <f>SUM(K98,K100)</f>
        <v>1408</v>
      </c>
      <c r="L102" s="300" t="s">
        <v>86</v>
      </c>
      <c r="M102" s="183"/>
      <c r="N102" s="183"/>
      <c r="O102" s="481"/>
      <c r="P102" s="472"/>
      <c r="Q102" s="395">
        <f>($D$91*100)+1</f>
        <v>201</v>
      </c>
      <c r="R102" s="254" t="s">
        <v>37</v>
      </c>
      <c r="S102" s="255">
        <f>$D$91*500</f>
        <v>1000</v>
      </c>
      <c r="T102" s="154" t="s">
        <v>57</v>
      </c>
      <c r="U102" s="246">
        <v>160</v>
      </c>
      <c r="V102" s="153">
        <f>IF(D95="あり",IF($D$93&lt;Q103,IF($D$93&lt;Q102,0,($D$93-S101)*U102),(S102-S101)*U102),0)</f>
        <v>0</v>
      </c>
    </row>
    <row r="103" spans="1:23" ht="19" customHeight="1" x14ac:dyDescent="0.2">
      <c r="G103" s="110"/>
      <c r="H103" s="89"/>
      <c r="I103" s="90"/>
      <c r="J103" s="91"/>
      <c r="K103" s="89"/>
      <c r="L103" s="82"/>
      <c r="M103" s="183"/>
      <c r="N103" s="183"/>
      <c r="O103" s="481"/>
      <c r="P103" s="472"/>
      <c r="Q103" s="395">
        <f>($D$91*500)+1</f>
        <v>1001</v>
      </c>
      <c r="R103" s="254" t="s">
        <v>37</v>
      </c>
      <c r="S103" s="255">
        <f>$D$91*1000</f>
        <v>2000</v>
      </c>
      <c r="T103" s="154" t="s">
        <v>57</v>
      </c>
      <c r="U103" s="246">
        <v>170</v>
      </c>
      <c r="V103" s="153">
        <f>IF(D95="あり",IF($D$93&lt;Q104,IF($D$93&lt;Q103,0,($D$93-S102)*U103),(S103-S102)*U103),0)</f>
        <v>0</v>
      </c>
    </row>
    <row r="104" spans="1:23" ht="19" customHeight="1" x14ac:dyDescent="0.2">
      <c r="B104" s="479" t="s">
        <v>94</v>
      </c>
      <c r="C104" s="469"/>
      <c r="D104" s="469"/>
      <c r="E104" s="469"/>
      <c r="F104" s="469"/>
      <c r="G104" s="468">
        <f>K92+K102</f>
        <v>3872</v>
      </c>
      <c r="H104" s="469"/>
      <c r="I104" s="469"/>
      <c r="J104" s="469"/>
      <c r="L104" s="183"/>
      <c r="M104" s="183"/>
      <c r="N104" s="183"/>
      <c r="O104" s="481"/>
      <c r="P104" s="396"/>
      <c r="Q104" s="395">
        <f>($D$91*1000)+1</f>
        <v>2001</v>
      </c>
      <c r="R104" s="254" t="s">
        <v>37</v>
      </c>
      <c r="S104" s="255">
        <f>$D$91*5000</f>
        <v>10000</v>
      </c>
      <c r="T104" s="154" t="s">
        <v>57</v>
      </c>
      <c r="U104" s="246">
        <v>180</v>
      </c>
      <c r="V104" s="153">
        <f>IF(D95="あり",IF($D$93&lt;Q105,IF($D$93&lt;Q104,0,($D$93-S103)*U104),(S104-S103)*U104),0)</f>
        <v>0</v>
      </c>
    </row>
    <row r="105" spans="1:23" ht="19" customHeight="1" thickBot="1" x14ac:dyDescent="0.25">
      <c r="B105" s="470"/>
      <c r="C105" s="470"/>
      <c r="D105" s="470"/>
      <c r="E105" s="470"/>
      <c r="F105" s="470"/>
      <c r="G105" s="470"/>
      <c r="H105" s="470"/>
      <c r="I105" s="470"/>
      <c r="J105" s="470"/>
      <c r="M105" s="183"/>
      <c r="N105" s="183"/>
      <c r="P105" s="396"/>
      <c r="Q105" s="399">
        <f>($D$91*5000)+1</f>
        <v>10001</v>
      </c>
      <c r="R105" s="254" t="s">
        <v>37</v>
      </c>
      <c r="S105" s="255">
        <f>$D$91*10000</f>
        <v>20000</v>
      </c>
      <c r="T105" s="154" t="s">
        <v>57</v>
      </c>
      <c r="U105" s="246">
        <v>195</v>
      </c>
      <c r="V105" s="153">
        <f>IF(D95="あり",IF($D$93&lt;Q106,IF($D$93&lt;Q105,0,($D$93-S104)*U105),(S105-S104)*U105),0)</f>
        <v>0</v>
      </c>
    </row>
    <row r="106" spans="1:23" ht="19" customHeight="1" x14ac:dyDescent="0.2">
      <c r="L106" s="183"/>
      <c r="M106" s="183"/>
      <c r="N106" s="183"/>
      <c r="P106" s="155"/>
      <c r="Q106" s="395">
        <f>($D$91*10000)+1</f>
        <v>20001</v>
      </c>
      <c r="R106" s="459" t="s">
        <v>61</v>
      </c>
      <c r="S106" s="459"/>
      <c r="T106" s="180"/>
      <c r="U106" s="246">
        <v>200</v>
      </c>
      <c r="V106" s="153">
        <f>IF($D$93&gt;S105,(D93-S105)*U106,0)</f>
        <v>0</v>
      </c>
    </row>
    <row r="107" spans="1:23" ht="19" customHeight="1" thickBot="1" x14ac:dyDescent="0.25">
      <c r="Q107" s="57"/>
      <c r="R107" s="57"/>
      <c r="S107" s="57"/>
      <c r="T107" s="57"/>
      <c r="U107" s="58"/>
      <c r="V107" s="59"/>
      <c r="W107" s="93"/>
    </row>
    <row r="108" spans="1:23" ht="19" hidden="1" customHeight="1" x14ac:dyDescent="0.2"/>
    <row r="109" spans="1:23" ht="19" hidden="1" customHeight="1" x14ac:dyDescent="0.2"/>
    <row r="110" spans="1:23" ht="0" hidden="1" customHeight="1" x14ac:dyDescent="0.2"/>
    <row r="111" spans="1:23" ht="0" hidden="1" customHeight="1" x14ac:dyDescent="0.2"/>
    <row r="112" spans="1:23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  <row r="146" ht="0" hidden="1" customHeight="1" x14ac:dyDescent="0.2"/>
    <row r="147" ht="0" hidden="1" customHeight="1" x14ac:dyDescent="0.2"/>
    <row r="148" ht="0" hidden="1" customHeight="1" x14ac:dyDescent="0.2"/>
    <row r="149" ht="0" hidden="1" customHeight="1" x14ac:dyDescent="0.2"/>
    <row r="150" ht="0" hidden="1" customHeight="1" x14ac:dyDescent="0.2"/>
    <row r="151" ht="0" hidden="1" customHeight="1" x14ac:dyDescent="0.2"/>
    <row r="152" ht="0" hidden="1" customHeight="1" x14ac:dyDescent="0.2"/>
    <row r="153" ht="0" hidden="1" customHeight="1" x14ac:dyDescent="0.2"/>
  </sheetData>
  <sheetProtection password="EC26" sheet="1" objects="1" scenarios="1" selectLockedCells="1"/>
  <mergeCells count="79">
    <mergeCell ref="C34:F34"/>
    <mergeCell ref="B23:F24"/>
    <mergeCell ref="B50:F51"/>
    <mergeCell ref="G50:J51"/>
    <mergeCell ref="I83:J84"/>
    <mergeCell ref="B77:F78"/>
    <mergeCell ref="I95:J96"/>
    <mergeCell ref="B57:D58"/>
    <mergeCell ref="P68:P71"/>
    <mergeCell ref="P87:P90"/>
    <mergeCell ref="O68:O73"/>
    <mergeCell ref="M88:N88"/>
    <mergeCell ref="I56:J57"/>
    <mergeCell ref="C61:E61"/>
    <mergeCell ref="G77:J78"/>
    <mergeCell ref="B84:D85"/>
    <mergeCell ref="I20:J20"/>
    <mergeCell ref="Q68:S68"/>
    <mergeCell ref="R70:S70"/>
    <mergeCell ref="R69:S69"/>
    <mergeCell ref="Q60:S60"/>
    <mergeCell ref="I70:J70"/>
    <mergeCell ref="I47:J47"/>
    <mergeCell ref="Q31:T31"/>
    <mergeCell ref="R24:S24"/>
    <mergeCell ref="M61:N61"/>
    <mergeCell ref="M70:N70"/>
    <mergeCell ref="I65:J65"/>
    <mergeCell ref="I67:J68"/>
    <mergeCell ref="O41:O49"/>
    <mergeCell ref="I43:J43"/>
    <mergeCell ref="B3:D4"/>
    <mergeCell ref="B30:D31"/>
    <mergeCell ref="A1:W1"/>
    <mergeCell ref="I29:J30"/>
    <mergeCell ref="I2:J3"/>
    <mergeCell ref="I13:J14"/>
    <mergeCell ref="G23:J24"/>
    <mergeCell ref="C6:E6"/>
    <mergeCell ref="B20:C20"/>
    <mergeCell ref="M7:N7"/>
    <mergeCell ref="Q4:S4"/>
    <mergeCell ref="I11:J11"/>
    <mergeCell ref="P14:P21"/>
    <mergeCell ref="M16:N16"/>
    <mergeCell ref="O4:O9"/>
    <mergeCell ref="Q14:S14"/>
    <mergeCell ref="B104:F105"/>
    <mergeCell ref="O96:O104"/>
    <mergeCell ref="C87:E87"/>
    <mergeCell ref="M98:N98"/>
    <mergeCell ref="R5:S5"/>
    <mergeCell ref="Q41:S41"/>
    <mergeCell ref="R42:S42"/>
    <mergeCell ref="M34:N34"/>
    <mergeCell ref="P41:P48"/>
    <mergeCell ref="M45:N45"/>
    <mergeCell ref="M43:N43"/>
    <mergeCell ref="I38:J38"/>
    <mergeCell ref="R32:S32"/>
    <mergeCell ref="R15:S15"/>
    <mergeCell ref="O14:O22"/>
    <mergeCell ref="Q96:S96"/>
    <mergeCell ref="R97:S97"/>
    <mergeCell ref="I40:J41"/>
    <mergeCell ref="O31:O36"/>
    <mergeCell ref="R51:S51"/>
    <mergeCell ref="R106:S106"/>
    <mergeCell ref="O60:O64"/>
    <mergeCell ref="O87:O91"/>
    <mergeCell ref="I74:J74"/>
    <mergeCell ref="I102:J102"/>
    <mergeCell ref="G104:J105"/>
    <mergeCell ref="P96:P103"/>
    <mergeCell ref="Q87:S87"/>
    <mergeCell ref="R61:S61"/>
    <mergeCell ref="R88:S88"/>
    <mergeCell ref="R89:S89"/>
    <mergeCell ref="I92:J92"/>
  </mergeCells>
  <phoneticPr fontId="4"/>
  <dataValidations count="8">
    <dataValidation type="list" imeMode="disabled" allowBlank="1" showInputMessage="1" showErrorMessage="1" sqref="D89 D8" xr:uid="{00000000-0002-0000-0000-000000000000}">
      <formula1>口径1</formula1>
    </dataValidation>
    <dataValidation type="list" imeMode="disabled" allowBlank="1" showInputMessage="1" showErrorMessage="1" sqref="D91" xr:uid="{00000000-0002-0000-0000-000001000000}">
      <formula1>"1,2,3,4,5,6,7,8,9,10,11,12"</formula1>
    </dataValidation>
    <dataValidation type="list" imeMode="disabled" allowBlank="1" showInputMessage="1" showErrorMessage="1" sqref="D95 D15 D69 D46" xr:uid="{00000000-0002-0000-0000-000002000000}">
      <formula1>"あり,なし"</formula1>
    </dataValidation>
    <dataValidation imeMode="disabled" allowBlank="1" showInputMessage="1" showErrorMessage="1" sqref="D93 D12 D67 D44 D40" xr:uid="{00000000-0002-0000-0000-000003000000}"/>
    <dataValidation type="list" imeMode="disabled" allowBlank="1" showInputMessage="1" showErrorMessage="1" sqref="D65 D10 D42" xr:uid="{00000000-0002-0000-0000-000004000000}">
      <formula1>"1,2"</formula1>
    </dataValidation>
    <dataValidation type="list" imeMode="disabled" allowBlank="1" showInputMessage="1" showErrorMessage="1" sqref="D38" xr:uid="{00000000-0002-0000-0000-000005000000}">
      <formula1>"ワンルーム,ファミリー"</formula1>
    </dataValidation>
    <dataValidation type="list" imeMode="disabled" allowBlank="1" showInputMessage="1" showErrorMessage="1" sqref="D36" xr:uid="{00000000-0002-0000-0000-000006000000}">
      <formula1>"13,20"</formula1>
    </dataValidation>
    <dataValidation type="list" imeMode="disabled" allowBlank="1" showInputMessage="1" showErrorMessage="1" sqref="D63" xr:uid="{00000000-0002-0000-0000-000007000000}">
      <formula1>口径3</formula1>
    </dataValidation>
  </dataValidations>
  <pageMargins left="0.59055118110236227" right="0.19685039370078741" top="0.78740157480314965" bottom="0.78740157480314965" header="0.31496062992125984" footer="0.31496062992125984"/>
  <pageSetup paperSize="9" scale="91" orientation="landscape" r:id="rId1"/>
  <rowBreaks count="3" manualBreakCount="3">
    <brk id="27" max="21" man="1"/>
    <brk id="54" max="21" man="1"/>
    <brk id="81" max="21" man="1"/>
  </rowBreaks>
  <ignoredErrors>
    <ignoredError sqref="Q49 S4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Button 18">
              <controlPr defaultSize="0" print="0" autoFill="0" autoPict="0" macro="[0]!一般用">
                <anchor moveWithCells="1" sizeWithCells="1">
                  <from>
                    <xdr:col>5</xdr:col>
                    <xdr:colOff>336550</xdr:colOff>
                    <xdr:row>0</xdr:row>
                    <xdr:rowOff>76200</xdr:rowOff>
                  </from>
                  <to>
                    <xdr:col>8</xdr:col>
                    <xdr:colOff>190500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Button 22">
              <controlPr defaultSize="0" print="0" autoFill="0" autoPict="0" macro="[0]!集合家事用">
                <anchor moveWithCells="1" sizeWithCells="1">
                  <from>
                    <xdr:col>8</xdr:col>
                    <xdr:colOff>241300</xdr:colOff>
                    <xdr:row>0</xdr:row>
                    <xdr:rowOff>76200</xdr:rowOff>
                  </from>
                  <to>
                    <xdr:col>9</xdr:col>
                    <xdr:colOff>698500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Button 23">
              <controlPr defaultSize="0" print="0" autoFill="0" autoPict="0" macro="[0]!公衆浴場用">
                <anchor moveWithCells="1" sizeWithCells="1">
                  <from>
                    <xdr:col>9</xdr:col>
                    <xdr:colOff>736600</xdr:colOff>
                    <xdr:row>0</xdr:row>
                    <xdr:rowOff>76200</xdr:rowOff>
                  </from>
                  <to>
                    <xdr:col>10</xdr:col>
                    <xdr:colOff>742950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Button 24">
              <controlPr defaultSize="0" print="0" autoFill="0" autoPict="0" macro="[0]!特殊用">
                <anchor moveWithCells="1" sizeWithCells="1">
                  <from>
                    <xdr:col>10</xdr:col>
                    <xdr:colOff>793750</xdr:colOff>
                    <xdr:row>0</xdr:row>
                    <xdr:rowOff>76200</xdr:rowOff>
                  </from>
                  <to>
                    <xdr:col>11</xdr:col>
                    <xdr:colOff>95250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41"/>
  <sheetViews>
    <sheetView showGridLines="0" showRowColHeaders="0" zoomScaleNormal="100" workbookViewId="0">
      <selection activeCell="D16" sqref="D16"/>
    </sheetView>
  </sheetViews>
  <sheetFormatPr defaultColWidth="0" defaultRowHeight="0" customHeight="1" zeroHeight="1" x14ac:dyDescent="0.2"/>
  <cols>
    <col min="1" max="2" width="3.6328125" style="166" customWidth="1"/>
    <col min="3" max="3" width="10.6328125" style="167" customWidth="1"/>
    <col min="4" max="4" width="8.6328125" style="167" customWidth="1"/>
    <col min="5" max="5" width="3.36328125" style="166" bestFit="1" customWidth="1"/>
    <col min="6" max="6" width="3.6328125" style="166" customWidth="1"/>
    <col min="7" max="7" width="13.6328125" style="166" customWidth="1"/>
    <col min="8" max="8" width="3.6328125" style="166" customWidth="1"/>
    <col min="9" max="9" width="9" style="166" customWidth="1"/>
    <col min="10" max="10" width="8.6328125" style="166" customWidth="1"/>
    <col min="11" max="11" width="8.6328125" style="328" customWidth="1"/>
    <col min="12" max="12" width="9.453125" style="328" customWidth="1"/>
    <col min="13" max="13" width="5.6328125" style="328" customWidth="1"/>
    <col min="14" max="14" width="8.6328125" style="328" customWidth="1"/>
    <col min="15" max="15" width="4.6328125" style="166" customWidth="1"/>
    <col min="16" max="16" width="4.6328125" style="168" customWidth="1"/>
    <col min="17" max="17" width="13.6328125" style="166" customWidth="1"/>
    <col min="18" max="18" width="7.36328125" style="166" customWidth="1"/>
    <col min="19" max="19" width="9.6328125" style="166" customWidth="1"/>
    <col min="20" max="16384" width="0" style="166" hidden="1"/>
  </cols>
  <sheetData>
    <row r="1" spans="1:19" ht="20.149999999999999" customHeight="1" x14ac:dyDescent="0.2">
      <c r="A1" s="187"/>
      <c r="B1" s="187"/>
      <c r="C1" s="188"/>
      <c r="D1" s="188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9"/>
      <c r="Q1" s="187"/>
      <c r="R1" s="187"/>
      <c r="S1" s="187"/>
    </row>
    <row r="2" spans="1:19" s="169" customFormat="1" ht="20.149999999999999" customHeight="1" x14ac:dyDescent="0.2">
      <c r="A2" s="190"/>
      <c r="B2" s="574" t="s">
        <v>182</v>
      </c>
      <c r="C2" s="574"/>
      <c r="D2" s="574"/>
      <c r="E2" s="574"/>
      <c r="F2" s="574"/>
      <c r="G2" s="574"/>
      <c r="H2" s="574"/>
      <c r="I2" s="190"/>
      <c r="J2" s="191" t="s">
        <v>80</v>
      </c>
      <c r="K2" s="190"/>
      <c r="L2" s="192"/>
      <c r="M2" s="192"/>
      <c r="N2" s="192"/>
      <c r="O2" s="192"/>
      <c r="P2" s="192"/>
      <c r="Q2" s="190"/>
      <c r="R2" s="190"/>
      <c r="S2" s="190"/>
    </row>
    <row r="3" spans="1:19" ht="20.149999999999999" customHeight="1" x14ac:dyDescent="0.2">
      <c r="A3" s="187"/>
      <c r="B3" s="193"/>
      <c r="C3" s="188"/>
      <c r="D3" s="188"/>
      <c r="E3" s="193"/>
      <c r="F3" s="193"/>
      <c r="G3" s="193"/>
      <c r="H3" s="193"/>
      <c r="I3" s="187"/>
      <c r="J3" s="187"/>
      <c r="K3" s="194"/>
      <c r="L3" s="194"/>
      <c r="M3" s="194"/>
      <c r="N3" s="194"/>
      <c r="O3" s="194"/>
      <c r="P3" s="194"/>
      <c r="Q3" s="187"/>
      <c r="R3" s="187"/>
      <c r="S3" s="187"/>
    </row>
    <row r="4" spans="1:19" s="170" customFormat="1" ht="20.149999999999999" customHeight="1" x14ac:dyDescent="0.2">
      <c r="A4" s="195"/>
      <c r="B4" s="195"/>
      <c r="C4" s="196"/>
      <c r="D4" s="197" t="s">
        <v>15</v>
      </c>
      <c r="E4" s="198"/>
      <c r="F4" s="198"/>
      <c r="G4" s="197" t="s">
        <v>16</v>
      </c>
      <c r="H4" s="198"/>
      <c r="I4" s="195"/>
      <c r="J4" s="195"/>
      <c r="K4" s="576" t="s">
        <v>15</v>
      </c>
      <c r="L4" s="576"/>
      <c r="M4" s="198"/>
      <c r="N4" s="576" t="s">
        <v>15</v>
      </c>
      <c r="O4" s="576"/>
      <c r="P4" s="194"/>
      <c r="Q4" s="198" t="s">
        <v>17</v>
      </c>
      <c r="R4" s="195"/>
      <c r="S4" s="195"/>
    </row>
    <row r="5" spans="1:19" ht="10" customHeight="1" thickBot="1" x14ac:dyDescent="0.25">
      <c r="A5" s="187"/>
      <c r="B5" s="187"/>
      <c r="C5" s="188"/>
      <c r="D5" s="188"/>
      <c r="E5" s="187"/>
      <c r="F5" s="199"/>
      <c r="G5" s="187"/>
      <c r="H5" s="199"/>
      <c r="I5" s="187"/>
      <c r="J5" s="187"/>
      <c r="K5" s="187"/>
      <c r="L5" s="187"/>
      <c r="M5" s="189"/>
      <c r="N5" s="187"/>
      <c r="O5" s="187"/>
      <c r="P5" s="189"/>
      <c r="Q5" s="187"/>
      <c r="R5" s="187"/>
      <c r="S5" s="187"/>
    </row>
    <row r="6" spans="1:19" ht="25" customHeight="1" thickBot="1" x14ac:dyDescent="0.25">
      <c r="A6" s="187"/>
      <c r="B6" s="200"/>
      <c r="C6" s="201"/>
      <c r="D6" s="201"/>
      <c r="E6" s="202"/>
      <c r="F6" s="202"/>
      <c r="G6" s="203"/>
      <c r="H6" s="204"/>
      <c r="I6" s="187"/>
      <c r="J6" s="205" t="s">
        <v>35</v>
      </c>
      <c r="K6" s="206" t="s">
        <v>0</v>
      </c>
      <c r="L6" s="165">
        <v>20</v>
      </c>
      <c r="M6" s="196" t="s">
        <v>11</v>
      </c>
      <c r="N6" s="207" t="s">
        <v>12</v>
      </c>
      <c r="O6" s="186">
        <v>1</v>
      </c>
      <c r="P6" s="198" t="s">
        <v>10</v>
      </c>
      <c r="Q6" s="208">
        <f>(VLOOKUP(L6,加入金甲,2,0)*O6)</f>
        <v>115500</v>
      </c>
      <c r="R6" s="196" t="s">
        <v>21</v>
      </c>
      <c r="S6" s="196"/>
    </row>
    <row r="7" spans="1:19" ht="25" customHeight="1" thickBot="1" x14ac:dyDescent="0.25">
      <c r="A7" s="187"/>
      <c r="B7" s="209"/>
      <c r="C7" s="210" t="s">
        <v>4</v>
      </c>
      <c r="D7" s="302" t="s">
        <v>1</v>
      </c>
      <c r="E7" s="211"/>
      <c r="F7" s="211"/>
      <c r="G7" s="212">
        <f>VLOOKUP(D9,IF(D7="砂利道",口径金額砂利道,口径金額舗装道),2,0)</f>
        <v>189200</v>
      </c>
      <c r="H7" s="213"/>
      <c r="I7" s="187"/>
      <c r="J7" s="190"/>
      <c r="K7" s="196"/>
      <c r="L7" s="196"/>
      <c r="M7" s="188"/>
      <c r="N7" s="196"/>
      <c r="O7" s="188"/>
      <c r="P7" s="198"/>
      <c r="Q7" s="188"/>
      <c r="R7" s="188"/>
      <c r="S7" s="188"/>
    </row>
    <row r="8" spans="1:19" ht="25" customHeight="1" thickBot="1" x14ac:dyDescent="0.25">
      <c r="A8" s="187"/>
      <c r="B8" s="209"/>
      <c r="C8" s="214"/>
      <c r="D8" s="214"/>
      <c r="E8" s="215"/>
      <c r="F8" s="211"/>
      <c r="G8" s="199"/>
      <c r="H8" s="213"/>
      <c r="I8" s="187"/>
      <c r="J8" s="205" t="s">
        <v>36</v>
      </c>
      <c r="K8" s="206" t="s">
        <v>0</v>
      </c>
      <c r="L8" s="165">
        <v>20</v>
      </c>
      <c r="M8" s="196" t="s">
        <v>11</v>
      </c>
      <c r="N8" s="207" t="s">
        <v>12</v>
      </c>
      <c r="O8" s="186">
        <v>1</v>
      </c>
      <c r="P8" s="198" t="s">
        <v>10</v>
      </c>
      <c r="Q8" s="208">
        <f>VLOOKUP(L8,加入金甲,2,0)*O8</f>
        <v>115500</v>
      </c>
      <c r="R8" s="196" t="s">
        <v>22</v>
      </c>
      <c r="S8" s="196"/>
    </row>
    <row r="9" spans="1:19" ht="25" customHeight="1" thickBot="1" x14ac:dyDescent="0.25">
      <c r="A9" s="187"/>
      <c r="B9" s="209"/>
      <c r="C9" s="210" t="s">
        <v>0</v>
      </c>
      <c r="D9" s="165">
        <v>13</v>
      </c>
      <c r="E9" s="572" t="s">
        <v>65</v>
      </c>
      <c r="F9" s="575"/>
      <c r="G9" s="208">
        <f>IF(D11="あり",G7*1.35,G7)</f>
        <v>189200</v>
      </c>
      <c r="H9" s="216" t="s">
        <v>18</v>
      </c>
      <c r="I9" s="217"/>
      <c r="J9" s="205"/>
      <c r="K9" s="218"/>
      <c r="L9" s="219"/>
      <c r="M9" s="196"/>
      <c r="N9" s="214"/>
      <c r="O9" s="220"/>
      <c r="P9" s="198"/>
      <c r="Q9" s="221"/>
      <c r="R9" s="196"/>
      <c r="S9" s="196"/>
    </row>
    <row r="10" spans="1:19" ht="20.149999999999999" customHeight="1" x14ac:dyDescent="0.2">
      <c r="A10" s="187"/>
      <c r="B10" s="209"/>
      <c r="C10" s="214"/>
      <c r="D10" s="214"/>
      <c r="E10" s="413"/>
      <c r="F10" s="197"/>
      <c r="G10" s="199"/>
      <c r="H10" s="222"/>
      <c r="I10" s="187"/>
      <c r="J10" s="205"/>
      <c r="K10" s="218"/>
      <c r="L10" s="219"/>
      <c r="M10" s="196"/>
      <c r="N10" s="214"/>
      <c r="O10" s="220"/>
      <c r="P10" s="198"/>
      <c r="Q10" s="221"/>
      <c r="R10" s="196"/>
      <c r="S10" s="196"/>
    </row>
    <row r="11" spans="1:19" ht="25" customHeight="1" x14ac:dyDescent="0.2">
      <c r="A11" s="187"/>
      <c r="B11" s="209"/>
      <c r="C11" s="210" t="s">
        <v>5</v>
      </c>
      <c r="D11" s="302" t="s">
        <v>160</v>
      </c>
      <c r="E11" s="413"/>
      <c r="F11" s="197"/>
      <c r="G11" s="199"/>
      <c r="H11" s="222"/>
      <c r="I11" s="187"/>
      <c r="J11" s="217"/>
      <c r="K11" s="187"/>
      <c r="L11" s="579" t="s">
        <v>67</v>
      </c>
      <c r="M11" s="579"/>
      <c r="N11" s="240"/>
      <c r="O11" s="240"/>
      <c r="P11" s="189"/>
      <c r="Q11" s="187"/>
      <c r="R11" s="187"/>
      <c r="S11" s="187"/>
    </row>
    <row r="12" spans="1:19" ht="15" customHeight="1" x14ac:dyDescent="0.2">
      <c r="A12" s="187"/>
      <c r="B12" s="223"/>
      <c r="C12" s="224"/>
      <c r="D12" s="225"/>
      <c r="E12" s="226"/>
      <c r="F12" s="226"/>
      <c r="G12" s="227"/>
      <c r="H12" s="228"/>
      <c r="I12" s="187"/>
      <c r="J12" s="187"/>
      <c r="K12" s="187"/>
      <c r="L12" s="579"/>
      <c r="M12" s="579"/>
      <c r="N12" s="581">
        <f>IF(Q6&gt;Q8,0,Q8-Q6)</f>
        <v>0</v>
      </c>
      <c r="O12" s="581"/>
      <c r="P12" s="581"/>
      <c r="Q12" s="581"/>
      <c r="R12" s="187"/>
      <c r="S12" s="187"/>
    </row>
    <row r="13" spans="1:19" ht="20.149999999999999" customHeight="1" thickBot="1" x14ac:dyDescent="0.25">
      <c r="A13" s="187"/>
      <c r="B13" s="187"/>
      <c r="C13" s="214"/>
      <c r="D13" s="210"/>
      <c r="E13" s="197"/>
      <c r="F13" s="197"/>
      <c r="G13" s="229"/>
      <c r="H13" s="230"/>
      <c r="I13" s="187"/>
      <c r="J13" s="187"/>
      <c r="K13" s="187"/>
      <c r="L13" s="580"/>
      <c r="M13" s="580"/>
      <c r="N13" s="582"/>
      <c r="O13" s="582"/>
      <c r="P13" s="582"/>
      <c r="Q13" s="582"/>
      <c r="R13" s="187"/>
      <c r="S13" s="187"/>
    </row>
    <row r="14" spans="1:19" ht="25" customHeight="1" thickBot="1" x14ac:dyDescent="0.25">
      <c r="A14" s="187"/>
      <c r="B14" s="187"/>
      <c r="C14" s="207" t="s">
        <v>6</v>
      </c>
      <c r="D14" s="164" t="s">
        <v>7</v>
      </c>
      <c r="E14" s="572" t="s">
        <v>65</v>
      </c>
      <c r="F14" s="575"/>
      <c r="G14" s="208">
        <f>VLOOKUP(D14,IF(D7="砂利道",口径変更砂利道,口径変更舗装道),2,0)</f>
        <v>-62700</v>
      </c>
      <c r="H14" s="214" t="s">
        <v>19</v>
      </c>
      <c r="I14" s="187"/>
      <c r="J14" s="187"/>
      <c r="K14" s="187"/>
      <c r="L14" s="187"/>
      <c r="M14" s="187"/>
      <c r="N14" s="187"/>
      <c r="O14" s="187"/>
      <c r="P14" s="189"/>
      <c r="Q14" s="187"/>
      <c r="R14" s="187"/>
      <c r="S14" s="187"/>
    </row>
    <row r="15" spans="1:19" ht="20.149999999999999" customHeight="1" thickBot="1" x14ac:dyDescent="0.25">
      <c r="A15" s="187"/>
      <c r="B15" s="187"/>
      <c r="C15" s="214"/>
      <c r="D15" s="214"/>
      <c r="E15" s="197"/>
      <c r="F15" s="197"/>
      <c r="G15" s="199"/>
      <c r="H15" s="214"/>
      <c r="I15" s="187"/>
      <c r="J15" s="577" t="s">
        <v>68</v>
      </c>
      <c r="K15" s="578" t="s">
        <v>122</v>
      </c>
      <c r="L15" s="578"/>
      <c r="M15" s="578"/>
      <c r="N15" s="578"/>
      <c r="O15" s="578"/>
      <c r="P15" s="578"/>
      <c r="Q15" s="578"/>
      <c r="R15" s="578"/>
      <c r="S15" s="578"/>
    </row>
    <row r="16" spans="1:19" ht="25" customHeight="1" thickBot="1" x14ac:dyDescent="0.25">
      <c r="A16" s="187"/>
      <c r="B16" s="187"/>
      <c r="C16" s="210" t="s">
        <v>3</v>
      </c>
      <c r="D16" s="164" t="s">
        <v>7</v>
      </c>
      <c r="E16" s="572" t="s">
        <v>65</v>
      </c>
      <c r="F16" s="575"/>
      <c r="G16" s="208">
        <f>IF(D16="あり",date!G21,0)</f>
        <v>5500</v>
      </c>
      <c r="H16" s="231" t="s">
        <v>20</v>
      </c>
      <c r="I16" s="187"/>
      <c r="J16" s="577"/>
      <c r="K16" s="578"/>
      <c r="L16" s="578"/>
      <c r="M16" s="578"/>
      <c r="N16" s="578"/>
      <c r="O16" s="578"/>
      <c r="P16" s="578"/>
      <c r="Q16" s="578"/>
      <c r="R16" s="578"/>
      <c r="S16" s="578"/>
    </row>
    <row r="17" spans="1:21" ht="20.149999999999999" customHeight="1" thickBot="1" x14ac:dyDescent="0.25">
      <c r="A17" s="187"/>
      <c r="B17" s="187"/>
      <c r="C17" s="214"/>
      <c r="D17" s="214"/>
      <c r="E17" s="197"/>
      <c r="F17" s="197"/>
      <c r="G17" s="232"/>
      <c r="H17" s="199"/>
      <c r="I17" s="187"/>
      <c r="J17" s="414" t="s">
        <v>193</v>
      </c>
      <c r="K17" s="569" t="s">
        <v>123</v>
      </c>
      <c r="L17" s="569"/>
      <c r="M17" s="569"/>
      <c r="N17" s="569"/>
      <c r="O17" s="569"/>
      <c r="P17" s="569"/>
      <c r="Q17" s="569"/>
      <c r="R17" s="569"/>
      <c r="S17" s="569"/>
    </row>
    <row r="18" spans="1:21" ht="25" customHeight="1" thickBot="1" x14ac:dyDescent="0.25">
      <c r="A18" s="187"/>
      <c r="B18" s="187"/>
      <c r="C18" s="233" t="s">
        <v>64</v>
      </c>
      <c r="D18" s="237" t="s">
        <v>160</v>
      </c>
      <c r="E18" s="572" t="s">
        <v>65</v>
      </c>
      <c r="F18" s="575"/>
      <c r="G18" s="234">
        <f>IF(D18="あり",IF(D7="舗装道",IF(D11="なし",IF(D9&lt;=25,date!E35,IF(AND(25&lt;D9,D9&lt;=75),date!E36,date!E37)),IF(D9&lt;=25,date!F35,IF(AND(25&lt;D9,D9&lt;=75),date!F36,date!F37))),0),IF(D18="自己都合",IF(D7="舗装道",IF(D11="なし",IF(D9&lt;=25,date!G35,IF(AND(25&lt;D9,D9&lt;=75),date!G36,date!G37)),IF(D9&lt;=25,date!H35,IF(AND(25&lt;D9,D9&lt;=75),date!H36,date!H37))),0),0))</f>
        <v>0</v>
      </c>
      <c r="H18" s="214" t="s">
        <v>66</v>
      </c>
      <c r="I18" s="187"/>
      <c r="J18" s="415"/>
      <c r="K18" s="569"/>
      <c r="L18" s="569"/>
      <c r="M18" s="569"/>
      <c r="N18" s="569"/>
      <c r="O18" s="569"/>
      <c r="P18" s="569"/>
      <c r="Q18" s="569"/>
      <c r="R18" s="569"/>
      <c r="S18" s="569"/>
    </row>
    <row r="19" spans="1:21" ht="28.5" customHeight="1" x14ac:dyDescent="0.2">
      <c r="A19" s="187"/>
      <c r="B19" s="187"/>
      <c r="C19" s="218"/>
      <c r="D19" s="214"/>
      <c r="E19" s="197"/>
      <c r="F19" s="413"/>
      <c r="G19" s="235"/>
      <c r="H19" s="199"/>
      <c r="I19" s="187"/>
      <c r="J19" s="414" t="s">
        <v>102</v>
      </c>
      <c r="K19" s="569" t="s">
        <v>124</v>
      </c>
      <c r="L19" s="569"/>
      <c r="M19" s="569"/>
      <c r="N19" s="569"/>
      <c r="O19" s="569"/>
      <c r="P19" s="569"/>
      <c r="Q19" s="569"/>
      <c r="R19" s="569"/>
      <c r="S19" s="569"/>
    </row>
    <row r="20" spans="1:21" ht="20.25" customHeight="1" x14ac:dyDescent="0.2">
      <c r="A20" s="187"/>
      <c r="B20" s="199"/>
      <c r="C20" s="547" t="s">
        <v>183</v>
      </c>
      <c r="D20" s="547"/>
      <c r="E20" s="547"/>
      <c r="F20" s="549">
        <f>SUM(G9,G14,G16,G18)</f>
        <v>132000</v>
      </c>
      <c r="G20" s="549"/>
      <c r="H20" s="549"/>
      <c r="I20" s="187"/>
      <c r="J20" s="415"/>
      <c r="K20" s="569"/>
      <c r="L20" s="569"/>
      <c r="M20" s="569"/>
      <c r="N20" s="569"/>
      <c r="O20" s="569"/>
      <c r="P20" s="569"/>
      <c r="Q20" s="569"/>
      <c r="R20" s="569"/>
      <c r="S20" s="569"/>
    </row>
    <row r="21" spans="1:21" ht="23.25" customHeight="1" thickBot="1" x14ac:dyDescent="0.25">
      <c r="A21" s="236"/>
      <c r="B21" s="218"/>
      <c r="C21" s="548"/>
      <c r="D21" s="548"/>
      <c r="E21" s="548"/>
      <c r="F21" s="550"/>
      <c r="G21" s="550"/>
      <c r="H21" s="550"/>
      <c r="I21" s="187"/>
      <c r="K21" s="339" t="s">
        <v>120</v>
      </c>
      <c r="L21" s="340"/>
      <c r="M21" s="340"/>
      <c r="N21" s="340"/>
      <c r="O21" s="167"/>
      <c r="P21" s="341"/>
      <c r="Q21" s="342"/>
      <c r="R21" s="167"/>
      <c r="T21" s="330"/>
      <c r="U21" s="330"/>
    </row>
    <row r="22" spans="1:21" ht="26.25" customHeight="1" x14ac:dyDescent="0.2">
      <c r="A22" s="187"/>
      <c r="B22" s="187"/>
      <c r="I22" s="187"/>
      <c r="J22" s="187"/>
      <c r="K22" s="343"/>
      <c r="L22" s="554" t="s">
        <v>121</v>
      </c>
      <c r="M22" s="555"/>
      <c r="N22" s="560" t="s">
        <v>112</v>
      </c>
      <c r="O22" s="561"/>
      <c r="P22" s="561"/>
      <c r="Q22" s="561"/>
      <c r="R22" s="562"/>
      <c r="S22" s="330"/>
      <c r="T22" s="330"/>
      <c r="U22" s="330"/>
    </row>
    <row r="23" spans="1:21" ht="24" customHeight="1" x14ac:dyDescent="0.2">
      <c r="A23" s="187"/>
      <c r="B23" s="570" t="s">
        <v>179</v>
      </c>
      <c r="C23" s="571"/>
      <c r="D23" s="571"/>
      <c r="E23" s="571"/>
      <c r="F23" s="571"/>
      <c r="G23" s="571"/>
      <c r="H23" s="571"/>
      <c r="I23" s="571"/>
      <c r="K23" s="343"/>
      <c r="L23" s="556"/>
      <c r="M23" s="557"/>
      <c r="N23" s="563" t="s">
        <v>113</v>
      </c>
      <c r="O23" s="564"/>
      <c r="P23" s="559"/>
      <c r="Q23" s="563" t="s">
        <v>114</v>
      </c>
      <c r="R23" s="565"/>
      <c r="S23" s="335"/>
      <c r="T23" s="330"/>
    </row>
    <row r="24" spans="1:21" ht="27.75" customHeight="1" x14ac:dyDescent="0.2">
      <c r="B24" s="200"/>
      <c r="C24" s="201"/>
      <c r="D24" s="201"/>
      <c r="E24" s="202"/>
      <c r="F24" s="202"/>
      <c r="G24" s="203"/>
      <c r="H24" s="204"/>
      <c r="I24" s="416"/>
      <c r="K24" s="340"/>
      <c r="L24" s="558" t="s">
        <v>115</v>
      </c>
      <c r="M24" s="559"/>
      <c r="N24" s="563" t="s">
        <v>116</v>
      </c>
      <c r="O24" s="564"/>
      <c r="P24" s="559"/>
      <c r="Q24" s="563" t="s">
        <v>117</v>
      </c>
      <c r="R24" s="565"/>
      <c r="S24" s="335"/>
    </row>
    <row r="25" spans="1:21" ht="18.75" customHeight="1" x14ac:dyDescent="0.2">
      <c r="A25" s="414"/>
      <c r="B25" s="209"/>
      <c r="C25" s="210" t="s">
        <v>4</v>
      </c>
      <c r="D25" s="302" t="s">
        <v>2</v>
      </c>
      <c r="E25" s="211"/>
      <c r="F25" s="211"/>
      <c r="G25" s="212"/>
      <c r="H25" s="213"/>
      <c r="I25" s="416"/>
      <c r="J25" s="415"/>
      <c r="K25" s="340"/>
      <c r="L25" s="566" t="s">
        <v>118</v>
      </c>
      <c r="M25" s="567"/>
      <c r="N25" s="567"/>
      <c r="O25" s="567"/>
      <c r="P25" s="567"/>
      <c r="Q25" s="567"/>
      <c r="R25" s="568"/>
      <c r="S25" s="330"/>
    </row>
    <row r="26" spans="1:21" ht="32.25" customHeight="1" thickBot="1" x14ac:dyDescent="0.25">
      <c r="A26" s="415"/>
      <c r="B26" s="419"/>
      <c r="C26" s="420"/>
      <c r="D26" s="420"/>
      <c r="E26" s="420"/>
      <c r="F26" s="420"/>
      <c r="G26" s="420"/>
      <c r="H26" s="421"/>
      <c r="I26" s="416"/>
      <c r="J26" s="416"/>
      <c r="K26" s="344"/>
      <c r="L26" s="544" t="s">
        <v>125</v>
      </c>
      <c r="M26" s="545"/>
      <c r="N26" s="545"/>
      <c r="O26" s="545"/>
      <c r="P26" s="545"/>
      <c r="Q26" s="545"/>
      <c r="R26" s="546"/>
      <c r="S26" s="330"/>
    </row>
    <row r="27" spans="1:21" ht="32.25" customHeight="1" thickBot="1" x14ac:dyDescent="0.25">
      <c r="A27" s="415"/>
      <c r="B27" s="209"/>
      <c r="C27" s="210" t="s">
        <v>5</v>
      </c>
      <c r="D27" s="302" t="s">
        <v>7</v>
      </c>
      <c r="E27" s="572" t="s">
        <v>178</v>
      </c>
      <c r="F27" s="573"/>
      <c r="G27" s="208">
        <f>IF(AND(D25="砂利道",D27="なし"),date!E47,(IF(AND(D25="砂利道",D27="あり"),date!E48,IF(AND(D25="舗装道",D27="なし"),date!F47,IF(AND(D25="舗装道",D27="あり"),date!F48,0)))))</f>
        <v>103950</v>
      </c>
      <c r="H27" s="216"/>
      <c r="I27" s="416"/>
      <c r="J27" s="416"/>
      <c r="K27" s="344"/>
      <c r="L27" s="544" t="s">
        <v>126</v>
      </c>
      <c r="M27" s="545"/>
      <c r="N27" s="545"/>
      <c r="O27" s="545"/>
      <c r="P27" s="545"/>
      <c r="Q27" s="545"/>
      <c r="R27" s="546"/>
      <c r="S27" s="330"/>
    </row>
    <row r="28" spans="1:21" ht="32.25" customHeight="1" thickBot="1" x14ac:dyDescent="0.25">
      <c r="A28" s="415"/>
      <c r="B28" s="223"/>
      <c r="C28" s="224"/>
      <c r="D28" s="225"/>
      <c r="E28" s="226"/>
      <c r="F28" s="226"/>
      <c r="G28" s="227"/>
      <c r="H28" s="228"/>
      <c r="I28" s="416"/>
      <c r="J28" s="416"/>
      <c r="K28" s="345"/>
      <c r="L28" s="551" t="s">
        <v>127</v>
      </c>
      <c r="M28" s="552"/>
      <c r="N28" s="552"/>
      <c r="O28" s="552"/>
      <c r="P28" s="552"/>
      <c r="Q28" s="552"/>
      <c r="R28" s="553"/>
      <c r="S28" s="330"/>
    </row>
    <row r="29" spans="1:21" ht="16.5" x14ac:dyDescent="0.2">
      <c r="A29" s="415"/>
      <c r="B29" s="416"/>
      <c r="C29" s="416"/>
      <c r="D29" s="416"/>
      <c r="E29" s="416"/>
      <c r="F29" s="416"/>
      <c r="G29" s="416"/>
      <c r="H29" s="416"/>
      <c r="I29" s="416"/>
      <c r="J29" s="416"/>
      <c r="K29" s="337"/>
      <c r="L29" s="338"/>
      <c r="M29" s="338"/>
      <c r="N29" s="338"/>
      <c r="O29" s="338"/>
      <c r="P29" s="338"/>
      <c r="Q29" s="338"/>
      <c r="R29" s="338"/>
      <c r="S29" s="330"/>
    </row>
    <row r="30" spans="1:21" ht="18" customHeight="1" x14ac:dyDescent="0.2">
      <c r="A30" s="415"/>
      <c r="B30" s="417"/>
      <c r="C30" s="417"/>
      <c r="D30" s="417"/>
      <c r="E30" s="417"/>
      <c r="F30" s="417"/>
      <c r="G30" s="417"/>
      <c r="H30" s="417"/>
      <c r="I30" s="417"/>
      <c r="K30" s="329"/>
      <c r="L30" s="543"/>
      <c r="M30" s="543"/>
      <c r="N30" s="543"/>
      <c r="O30" s="543"/>
      <c r="P30" s="543"/>
      <c r="Q30" s="543"/>
      <c r="R30" s="543"/>
      <c r="S30" s="330"/>
    </row>
    <row r="31" spans="1:21" ht="30" hidden="1" customHeight="1" x14ac:dyDescent="0.2">
      <c r="K31" s="329"/>
      <c r="L31" s="336"/>
      <c r="M31" s="336"/>
      <c r="N31" s="336"/>
      <c r="O31" s="336"/>
      <c r="P31" s="336"/>
      <c r="Q31" s="336"/>
      <c r="R31" s="336"/>
      <c r="S31" s="330"/>
    </row>
    <row r="32" spans="1:21" ht="30" hidden="1" customHeight="1" x14ac:dyDescent="0.2">
      <c r="K32" s="334"/>
      <c r="L32" s="332"/>
      <c r="M32" s="332"/>
      <c r="N32" s="332"/>
      <c r="O32" s="332"/>
      <c r="P32" s="332"/>
      <c r="Q32" s="332"/>
      <c r="R32" s="335"/>
      <c r="S32" s="330"/>
    </row>
    <row r="33" spans="11:14" ht="30" hidden="1" customHeight="1" x14ac:dyDescent="0.2">
      <c r="K33" s="329"/>
      <c r="L33" s="331"/>
      <c r="M33" s="332"/>
      <c r="N33" s="333"/>
    </row>
    <row r="34" spans="11:14" ht="30" hidden="1" customHeight="1" x14ac:dyDescent="0.2">
      <c r="K34" s="324"/>
      <c r="L34" s="539" t="s">
        <v>119</v>
      </c>
      <c r="M34" s="540"/>
      <c r="N34" s="541"/>
    </row>
    <row r="35" spans="11:14" ht="0" hidden="1" customHeight="1" x14ac:dyDescent="0.2">
      <c r="K35" s="324"/>
      <c r="L35" s="542"/>
      <c r="M35" s="540"/>
      <c r="N35" s="541"/>
    </row>
    <row r="36" spans="11:14" ht="0" hidden="1" customHeight="1" x14ac:dyDescent="0.2">
      <c r="K36" s="324"/>
      <c r="L36" s="325"/>
      <c r="M36" s="326"/>
      <c r="N36" s="327"/>
    </row>
    <row r="37" spans="11:14" ht="0" hidden="1" customHeight="1" x14ac:dyDescent="0.2"/>
    <row r="38" spans="11:14" ht="0" hidden="1" customHeight="1" x14ac:dyDescent="0.2"/>
    <row r="39" spans="11:14" ht="0" hidden="1" customHeight="1" x14ac:dyDescent="0.2"/>
    <row r="40" spans="11:14" ht="0" hidden="1" customHeight="1" x14ac:dyDescent="0.2"/>
    <row r="41" spans="11:14" ht="0" hidden="1" customHeight="1" x14ac:dyDescent="0.2"/>
  </sheetData>
  <sheetProtection password="EC26" sheet="1" objects="1" scenarios="1" selectLockedCells="1"/>
  <mergeCells count="30">
    <mergeCell ref="B23:I23"/>
    <mergeCell ref="E27:F27"/>
    <mergeCell ref="B2:H2"/>
    <mergeCell ref="E18:F18"/>
    <mergeCell ref="N4:O4"/>
    <mergeCell ref="K4:L4"/>
    <mergeCell ref="J15:J16"/>
    <mergeCell ref="K15:S16"/>
    <mergeCell ref="L11:M13"/>
    <mergeCell ref="N12:Q13"/>
    <mergeCell ref="E9:F9"/>
    <mergeCell ref="E14:F14"/>
    <mergeCell ref="E16:F16"/>
    <mergeCell ref="K17:S18"/>
    <mergeCell ref="L34:N35"/>
    <mergeCell ref="L30:R30"/>
    <mergeCell ref="L27:R27"/>
    <mergeCell ref="L26:R26"/>
    <mergeCell ref="C20:E21"/>
    <mergeCell ref="F20:H21"/>
    <mergeCell ref="L28:R28"/>
    <mergeCell ref="L22:M23"/>
    <mergeCell ref="L24:M24"/>
    <mergeCell ref="N22:R22"/>
    <mergeCell ref="N23:P23"/>
    <mergeCell ref="N24:P24"/>
    <mergeCell ref="Q23:R23"/>
    <mergeCell ref="Q24:R24"/>
    <mergeCell ref="L25:R25"/>
    <mergeCell ref="K19:S20"/>
  </mergeCells>
  <phoneticPr fontId="1"/>
  <dataValidations count="8">
    <dataValidation type="list" allowBlank="1" showInputMessage="1" showErrorMessage="1" sqref="L9:L10 D10" xr:uid="{00000000-0002-0000-0100-000000000000}">
      <formula1>口径1</formula1>
    </dataValidation>
    <dataValidation type="list" allowBlank="1" showInputMessage="1" showErrorMessage="1" sqref="D8" xr:uid="{00000000-0002-0000-0100-000001000000}">
      <formula1>道路形態</formula1>
    </dataValidation>
    <dataValidation type="list" allowBlank="1" showInputMessage="1" showErrorMessage="1" sqref="D15 D17" xr:uid="{00000000-0002-0000-0100-000002000000}">
      <formula1>"あり,なし"</formula1>
    </dataValidation>
    <dataValidation type="list" imeMode="disabled" allowBlank="1" showInputMessage="1" showErrorMessage="1" sqref="L8 L6" xr:uid="{00000000-0002-0000-0100-000003000000}">
      <formula1>撤去口径</formula1>
    </dataValidation>
    <dataValidation type="list" imeMode="disabled" allowBlank="1" showInputMessage="1" showErrorMessage="1" sqref="D7 D25" xr:uid="{00000000-0002-0000-0100-000004000000}">
      <formula1>道路形態</formula1>
    </dataValidation>
    <dataValidation type="list" imeMode="disabled" allowBlank="1" showInputMessage="1" showErrorMessage="1" sqref="D11 D14 D16 D27" xr:uid="{00000000-0002-0000-0100-000005000000}">
      <formula1>"あり,なし"</formula1>
    </dataValidation>
    <dataValidation imeMode="disabled" allowBlank="1" showInputMessage="1" showErrorMessage="1" sqref="O6 O8" xr:uid="{00000000-0002-0000-0100-000006000000}"/>
    <dataValidation type="list" imeMode="disabled" allowBlank="1" showInputMessage="1" showErrorMessage="1" sqref="D9" xr:uid="{00000000-0002-0000-0100-000007000000}">
      <formula1>口径2</formula1>
    </dataValidation>
  </dataValidations>
  <printOptions horizontalCentered="1"/>
  <pageMargins left="0.59055118110236227" right="0.39370078740157483" top="0.39370078740157483" bottom="0" header="0.31496062992125984" footer="0.31496062992125984"/>
  <pageSetup paperSize="9" scale="9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xr:uid="{00000000-0002-0000-0100-000008000000}">
          <x14:formula1>
            <xm:f>date!$D$29:$D$31</xm:f>
          </x14:formula1>
          <xm:sqref>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42"/>
  <sheetViews>
    <sheetView showGridLines="0" showRowColHeaders="0" zoomScale="85" zoomScaleNormal="85" workbookViewId="0">
      <selection activeCell="D11" sqref="D11"/>
    </sheetView>
  </sheetViews>
  <sheetFormatPr defaultColWidth="0" defaultRowHeight="0" customHeight="1" zeroHeight="1" x14ac:dyDescent="0.2"/>
  <cols>
    <col min="1" max="1" width="6.6328125" customWidth="1"/>
    <col min="2" max="2" width="5.26953125" bestFit="1" customWidth="1"/>
    <col min="3" max="3" width="15.6328125" customWidth="1"/>
    <col min="4" max="4" width="15.6328125" style="347" customWidth="1"/>
    <col min="5" max="12" width="11.6328125" style="347" customWidth="1"/>
    <col min="13" max="13" width="9" customWidth="1"/>
    <col min="14" max="16384" width="9" hidden="1"/>
  </cols>
  <sheetData>
    <row r="1" spans="1:13" ht="30" customHeight="1" thickBot="1" x14ac:dyDescent="0.25">
      <c r="B1" s="583" t="s">
        <v>180</v>
      </c>
      <c r="C1" s="583"/>
      <c r="D1" s="583"/>
      <c r="E1" s="583"/>
      <c r="I1" s="348" t="s">
        <v>155</v>
      </c>
    </row>
    <row r="2" spans="1:13" s="350" customFormat="1" ht="16.5" customHeight="1" x14ac:dyDescent="0.2">
      <c r="B2" s="584" t="s">
        <v>0</v>
      </c>
      <c r="C2" s="586" t="s">
        <v>128</v>
      </c>
      <c r="D2" s="587"/>
      <c r="E2" s="588" t="s">
        <v>186</v>
      </c>
      <c r="F2" s="590" t="s">
        <v>129</v>
      </c>
      <c r="G2" s="591"/>
      <c r="H2" s="592" t="s">
        <v>3</v>
      </c>
      <c r="I2" s="349"/>
      <c r="J2" s="594" t="s">
        <v>130</v>
      </c>
      <c r="K2" s="596" t="s">
        <v>112</v>
      </c>
      <c r="L2" s="597"/>
      <c r="M2" s="349"/>
    </row>
    <row r="3" spans="1:13" s="350" customFormat="1" ht="16.5" customHeight="1" thickBot="1" x14ac:dyDescent="0.25">
      <c r="B3" s="585"/>
      <c r="C3" s="351" t="s">
        <v>1</v>
      </c>
      <c r="D3" s="351" t="s">
        <v>2</v>
      </c>
      <c r="E3" s="589"/>
      <c r="F3" s="352" t="s">
        <v>1</v>
      </c>
      <c r="G3" s="352" t="s">
        <v>2</v>
      </c>
      <c r="H3" s="593"/>
      <c r="I3" s="349"/>
      <c r="J3" s="595"/>
      <c r="K3" s="447" t="s">
        <v>113</v>
      </c>
      <c r="L3" s="448" t="s">
        <v>114</v>
      </c>
      <c r="M3" s="349"/>
    </row>
    <row r="4" spans="1:13" ht="16.5" customHeight="1" thickTop="1" x14ac:dyDescent="0.2">
      <c r="B4" s="353" t="s">
        <v>132</v>
      </c>
      <c r="C4" s="354">
        <f>date!E4</f>
        <v>189200</v>
      </c>
      <c r="D4" s="354">
        <f>date!E16</f>
        <v>316800</v>
      </c>
      <c r="E4" s="355"/>
      <c r="F4" s="356"/>
      <c r="G4" s="356"/>
      <c r="H4" s="357"/>
      <c r="J4" s="444" t="s">
        <v>115</v>
      </c>
      <c r="K4" s="445">
        <f>date!E41</f>
        <v>9600</v>
      </c>
      <c r="L4" s="446">
        <f>date!E42</f>
        <v>2600</v>
      </c>
      <c r="M4" s="347"/>
    </row>
    <row r="5" spans="1:13" ht="16.5" customHeight="1" x14ac:dyDescent="0.2">
      <c r="B5" s="358" t="s">
        <v>134</v>
      </c>
      <c r="C5" s="359">
        <f>date!E5</f>
        <v>189200</v>
      </c>
      <c r="D5" s="359">
        <f>date!E17</f>
        <v>316800</v>
      </c>
      <c r="E5" s="360">
        <f>date!E35</f>
        <v>-74800</v>
      </c>
      <c r="F5" s="360"/>
      <c r="G5" s="360"/>
      <c r="H5" s="361"/>
      <c r="J5" s="439" t="s">
        <v>118</v>
      </c>
      <c r="K5" s="362"/>
      <c r="L5" s="440"/>
      <c r="M5" s="347"/>
    </row>
    <row r="6" spans="1:13" ht="16.5" customHeight="1" x14ac:dyDescent="0.2">
      <c r="B6" s="358" t="s">
        <v>136</v>
      </c>
      <c r="C6" s="359">
        <f>date!E6</f>
        <v>239800</v>
      </c>
      <c r="D6" s="359">
        <f>date!E18</f>
        <v>377300</v>
      </c>
      <c r="E6" s="454">
        <f>date!G35</f>
        <v>-37400</v>
      </c>
      <c r="F6" s="360"/>
      <c r="G6" s="360"/>
      <c r="H6" s="361"/>
      <c r="J6" s="598" t="s">
        <v>137</v>
      </c>
      <c r="K6" s="599"/>
      <c r="L6" s="600"/>
      <c r="M6" s="347"/>
    </row>
    <row r="7" spans="1:13" ht="16.5" customHeight="1" x14ac:dyDescent="0.2">
      <c r="B7" s="358" t="s">
        <v>139</v>
      </c>
      <c r="C7" s="359">
        <f>date!E7</f>
        <v>578600</v>
      </c>
      <c r="D7" s="359">
        <f>date!E19</f>
        <v>1007600</v>
      </c>
      <c r="E7" s="363"/>
      <c r="F7" s="360"/>
      <c r="G7" s="360"/>
      <c r="H7" s="361"/>
      <c r="J7" s="598"/>
      <c r="K7" s="599"/>
      <c r="L7" s="600"/>
      <c r="M7" s="347"/>
    </row>
    <row r="8" spans="1:13" ht="16.5" customHeight="1" x14ac:dyDescent="0.2">
      <c r="B8" s="358" t="s">
        <v>141</v>
      </c>
      <c r="C8" s="359">
        <f>date!E8</f>
        <v>798600</v>
      </c>
      <c r="D8" s="359">
        <f>date!E20</f>
        <v>1170400</v>
      </c>
      <c r="E8" s="360">
        <f>date!E36</f>
        <v>-198000</v>
      </c>
      <c r="F8" s="360">
        <f>date!H3</f>
        <v>-62700</v>
      </c>
      <c r="G8" s="360">
        <f>date!H8</f>
        <v>-105600</v>
      </c>
      <c r="H8" s="361">
        <f>date!G21</f>
        <v>5500</v>
      </c>
      <c r="J8" s="598" t="s">
        <v>142</v>
      </c>
      <c r="K8" s="599"/>
      <c r="L8" s="600"/>
      <c r="M8" s="347"/>
    </row>
    <row r="9" spans="1:13" ht="16.5" customHeight="1" x14ac:dyDescent="0.2">
      <c r="B9" s="358" t="s">
        <v>144</v>
      </c>
      <c r="C9" s="359">
        <f>date!E9</f>
        <v>1647800</v>
      </c>
      <c r="D9" s="359">
        <f>date!E21</f>
        <v>2294600</v>
      </c>
      <c r="E9" s="455">
        <f>date!G36</f>
        <v>-99000</v>
      </c>
      <c r="F9" s="360"/>
      <c r="G9" s="360"/>
      <c r="H9" s="361"/>
      <c r="J9" s="598"/>
      <c r="K9" s="599"/>
      <c r="L9" s="600"/>
      <c r="M9" s="347"/>
    </row>
    <row r="10" spans="1:13" ht="16.5" customHeight="1" x14ac:dyDescent="0.2">
      <c r="B10" s="358" t="s">
        <v>146</v>
      </c>
      <c r="C10" s="359">
        <f>date!E10</f>
        <v>2016300</v>
      </c>
      <c r="D10" s="359">
        <f>date!E22</f>
        <v>2702700</v>
      </c>
      <c r="E10" s="360"/>
      <c r="F10" s="360"/>
      <c r="G10" s="360"/>
      <c r="H10" s="361"/>
      <c r="J10" s="598" t="s">
        <v>119</v>
      </c>
      <c r="K10" s="599"/>
      <c r="L10" s="600"/>
      <c r="M10" s="347"/>
    </row>
    <row r="11" spans="1:13" ht="16.5" customHeight="1" x14ac:dyDescent="0.2">
      <c r="B11" s="358" t="s">
        <v>148</v>
      </c>
      <c r="C11" s="359">
        <f>date!E11</f>
        <v>3426500</v>
      </c>
      <c r="D11" s="359">
        <f>date!E23</f>
        <v>4593600</v>
      </c>
      <c r="E11" s="360">
        <f>date!E37</f>
        <v>-240900</v>
      </c>
      <c r="F11" s="360"/>
      <c r="G11" s="360"/>
      <c r="H11" s="361"/>
      <c r="J11" s="598"/>
      <c r="K11" s="599"/>
      <c r="L11" s="600"/>
      <c r="M11" s="347"/>
    </row>
    <row r="12" spans="1:13" ht="16.5" customHeight="1" thickBot="1" x14ac:dyDescent="0.25">
      <c r="B12" s="364" t="s">
        <v>150</v>
      </c>
      <c r="C12" s="365">
        <f>date!E12</f>
        <v>5824500</v>
      </c>
      <c r="D12" s="365">
        <f>date!E24</f>
        <v>7807800</v>
      </c>
      <c r="E12" s="456">
        <f>date!G37</f>
        <v>-120450</v>
      </c>
      <c r="F12" s="366"/>
      <c r="G12" s="366"/>
      <c r="H12" s="367"/>
      <c r="J12" s="441"/>
      <c r="K12" s="442"/>
      <c r="L12" s="443"/>
      <c r="M12" s="347"/>
    </row>
    <row r="13" spans="1:13" ht="16.5" customHeight="1" x14ac:dyDescent="0.2">
      <c r="B13" s="1" t="s">
        <v>161</v>
      </c>
      <c r="C13" s="368"/>
      <c r="D13" s="369"/>
      <c r="E13" s="369"/>
      <c r="F13" s="370"/>
      <c r="G13" s="369"/>
      <c r="J13" s="427"/>
      <c r="K13" s="427"/>
      <c r="L13" s="427"/>
      <c r="M13" s="347"/>
    </row>
    <row r="14" spans="1:13" ht="16.5" customHeight="1" x14ac:dyDescent="0.2">
      <c r="B14" s="614" t="s">
        <v>187</v>
      </c>
      <c r="C14" s="615"/>
      <c r="D14" s="615"/>
      <c r="E14" s="615"/>
      <c r="F14" s="615"/>
      <c r="G14" s="615"/>
      <c r="J14" s="427"/>
      <c r="K14" s="427"/>
      <c r="L14" s="427"/>
      <c r="M14" s="347"/>
    </row>
    <row r="15" spans="1:13" ht="16.5" customHeight="1" thickBot="1" x14ac:dyDescent="0.25">
      <c r="A15" s="430"/>
      <c r="B15" s="604" t="s">
        <v>181</v>
      </c>
      <c r="C15" s="604"/>
      <c r="D15" s="604"/>
      <c r="E15" s="604"/>
      <c r="F15" s="604"/>
      <c r="G15" s="604"/>
      <c r="H15" s="431"/>
      <c r="I15" s="431"/>
      <c r="J15" s="432"/>
      <c r="K15" s="432"/>
      <c r="L15" s="427"/>
      <c r="M15" s="347"/>
    </row>
    <row r="16" spans="1:13" ht="16.5" customHeight="1" thickBot="1" x14ac:dyDescent="0.25">
      <c r="A16" s="430"/>
      <c r="B16" s="449"/>
      <c r="C16" s="450" t="s">
        <v>173</v>
      </c>
      <c r="D16" s="450" t="s">
        <v>175</v>
      </c>
      <c r="E16" s="429" t="s">
        <v>190</v>
      </c>
      <c r="F16" s="433"/>
      <c r="G16" s="434"/>
      <c r="H16" s="434"/>
      <c r="I16" s="435"/>
      <c r="J16" s="435"/>
      <c r="K16" s="431"/>
      <c r="L16" s="427"/>
      <c r="M16" s="347"/>
    </row>
    <row r="17" spans="1:13" ht="16.5" customHeight="1" thickBot="1" x14ac:dyDescent="0.25">
      <c r="A17" s="430"/>
      <c r="B17" s="449" t="s">
        <v>176</v>
      </c>
      <c r="C17" s="451">
        <f>date!E47</f>
        <v>44000</v>
      </c>
      <c r="D17" s="451">
        <f>date!F47</f>
        <v>77000</v>
      </c>
      <c r="E17" s="429" t="s">
        <v>191</v>
      </c>
      <c r="F17" s="433"/>
      <c r="G17" s="434"/>
      <c r="H17" s="434"/>
      <c r="I17" s="435"/>
      <c r="J17" s="435"/>
      <c r="K17" s="432"/>
      <c r="L17" s="427"/>
      <c r="M17" s="347"/>
    </row>
    <row r="18" spans="1:13" ht="16.5" customHeight="1" thickBot="1" x14ac:dyDescent="0.25">
      <c r="A18" s="430"/>
      <c r="B18" s="449" t="s">
        <v>177</v>
      </c>
      <c r="C18" s="451">
        <f>date!E48</f>
        <v>59400</v>
      </c>
      <c r="D18" s="451">
        <f>date!F48</f>
        <v>103950</v>
      </c>
      <c r="E18" s="437"/>
      <c r="F18" s="438"/>
      <c r="G18" s="437"/>
      <c r="H18" s="436"/>
      <c r="I18" s="431"/>
      <c r="J18" s="432"/>
      <c r="K18" s="432"/>
      <c r="L18" s="427"/>
      <c r="M18" s="347"/>
    </row>
    <row r="19" spans="1:13" ht="16.5" customHeight="1" x14ac:dyDescent="0.2">
      <c r="B19" s="426"/>
      <c r="C19" s="424"/>
      <c r="D19" s="424"/>
      <c r="E19" s="425"/>
      <c r="F19" s="425"/>
      <c r="G19" s="425"/>
      <c r="H19" s="425"/>
      <c r="J19" s="427"/>
      <c r="K19" s="427"/>
      <c r="L19" s="427"/>
      <c r="M19" s="347"/>
    </row>
    <row r="20" spans="1:13" ht="30" customHeight="1" thickBot="1" x14ac:dyDescent="0.25">
      <c r="B20" s="371" t="s">
        <v>151</v>
      </c>
      <c r="C20" s="369"/>
      <c r="D20" s="369"/>
      <c r="E20" s="369"/>
      <c r="F20" s="370"/>
      <c r="G20" s="369"/>
      <c r="I20" s="428"/>
      <c r="J20" s="428"/>
      <c r="K20" s="428"/>
      <c r="L20" s="428"/>
    </row>
    <row r="21" spans="1:13" ht="16.5" customHeight="1" x14ac:dyDescent="0.2">
      <c r="B21" s="605" t="s">
        <v>152</v>
      </c>
      <c r="C21" s="608" t="s">
        <v>0</v>
      </c>
      <c r="D21" s="610" t="s">
        <v>128</v>
      </c>
      <c r="E21" s="586" t="s">
        <v>153</v>
      </c>
      <c r="F21" s="612"/>
      <c r="G21" s="612"/>
      <c r="H21" s="612"/>
      <c r="I21" s="612"/>
      <c r="J21" s="612"/>
      <c r="K21" s="612"/>
      <c r="L21" s="613"/>
    </row>
    <row r="22" spans="1:13" s="350" customFormat="1" ht="16.5" customHeight="1" thickBot="1" x14ac:dyDescent="0.25">
      <c r="B22" s="606"/>
      <c r="C22" s="609"/>
      <c r="D22" s="611"/>
      <c r="E22" s="372" t="s">
        <v>132</v>
      </c>
      <c r="F22" s="372" t="s">
        <v>134</v>
      </c>
      <c r="G22" s="372" t="s">
        <v>136</v>
      </c>
      <c r="H22" s="372" t="s">
        <v>139</v>
      </c>
      <c r="I22" s="372" t="s">
        <v>141</v>
      </c>
      <c r="J22" s="372" t="s">
        <v>144</v>
      </c>
      <c r="K22" s="372" t="s">
        <v>146</v>
      </c>
      <c r="L22" s="373" t="s">
        <v>148</v>
      </c>
      <c r="M22" s="349"/>
    </row>
    <row r="23" spans="1:13" ht="16.5" customHeight="1" thickTop="1" x14ac:dyDescent="0.2">
      <c r="B23" s="606"/>
      <c r="C23" s="374" t="s">
        <v>132</v>
      </c>
      <c r="D23" s="354">
        <f>date!K5</f>
        <v>66000</v>
      </c>
      <c r="E23" s="375"/>
      <c r="F23" s="375"/>
      <c r="G23" s="375"/>
      <c r="H23" s="375"/>
      <c r="I23" s="375"/>
      <c r="J23" s="375"/>
      <c r="K23" s="375"/>
      <c r="L23" s="376"/>
    </row>
    <row r="24" spans="1:13" ht="16.5" customHeight="1" x14ac:dyDescent="0.2">
      <c r="B24" s="606"/>
      <c r="C24" s="377" t="s">
        <v>133</v>
      </c>
      <c r="D24" s="359">
        <f>date!K6</f>
        <v>115500</v>
      </c>
      <c r="E24" s="378">
        <f>D24-$D$23</f>
        <v>49500</v>
      </c>
      <c r="F24" s="378"/>
      <c r="G24" s="378"/>
      <c r="H24" s="378"/>
      <c r="I24" s="378"/>
      <c r="J24" s="378"/>
      <c r="K24" s="378"/>
      <c r="L24" s="379"/>
    </row>
    <row r="25" spans="1:13" ht="16.5" customHeight="1" x14ac:dyDescent="0.2">
      <c r="B25" s="606"/>
      <c r="C25" s="377" t="s">
        <v>135</v>
      </c>
      <c r="D25" s="359">
        <f>date!K7</f>
        <v>198000</v>
      </c>
      <c r="E25" s="378">
        <f t="shared" ref="E25:E31" si="0">D25-$D$23</f>
        <v>132000</v>
      </c>
      <c r="F25" s="378">
        <f t="shared" ref="F25:F31" si="1">D25-$D$24</f>
        <v>82500</v>
      </c>
      <c r="G25" s="378"/>
      <c r="H25" s="378"/>
      <c r="I25" s="378"/>
      <c r="J25" s="378"/>
      <c r="K25" s="378"/>
      <c r="L25" s="379"/>
    </row>
    <row r="26" spans="1:13" ht="16.5" customHeight="1" x14ac:dyDescent="0.2">
      <c r="B26" s="606"/>
      <c r="C26" s="377" t="s">
        <v>138</v>
      </c>
      <c r="D26" s="359">
        <f>date!K8</f>
        <v>825000</v>
      </c>
      <c r="E26" s="378">
        <f t="shared" si="0"/>
        <v>759000</v>
      </c>
      <c r="F26" s="378">
        <f t="shared" si="1"/>
        <v>709500</v>
      </c>
      <c r="G26" s="378">
        <f t="shared" ref="G26:G31" si="2">D26-$D$25</f>
        <v>627000</v>
      </c>
      <c r="H26" s="378"/>
      <c r="I26" s="378"/>
      <c r="J26" s="378"/>
      <c r="K26" s="378"/>
      <c r="L26" s="379"/>
    </row>
    <row r="27" spans="1:13" ht="16.5" customHeight="1" x14ac:dyDescent="0.2">
      <c r="B27" s="606"/>
      <c r="C27" s="377" t="s">
        <v>140</v>
      </c>
      <c r="D27" s="359">
        <f>date!K9</f>
        <v>2475000</v>
      </c>
      <c r="E27" s="378">
        <f t="shared" si="0"/>
        <v>2409000</v>
      </c>
      <c r="F27" s="378">
        <f t="shared" si="1"/>
        <v>2359500</v>
      </c>
      <c r="G27" s="378">
        <f t="shared" si="2"/>
        <v>2277000</v>
      </c>
      <c r="H27" s="378">
        <f>D27-$D$26</f>
        <v>1650000</v>
      </c>
      <c r="I27" s="378"/>
      <c r="J27" s="378"/>
      <c r="K27" s="378"/>
      <c r="L27" s="379"/>
    </row>
    <row r="28" spans="1:13" ht="16.5" customHeight="1" x14ac:dyDescent="0.2">
      <c r="B28" s="606"/>
      <c r="C28" s="377" t="s">
        <v>143</v>
      </c>
      <c r="D28" s="359">
        <f>date!K10</f>
        <v>4950000</v>
      </c>
      <c r="E28" s="378">
        <f t="shared" si="0"/>
        <v>4884000</v>
      </c>
      <c r="F28" s="378">
        <f t="shared" si="1"/>
        <v>4834500</v>
      </c>
      <c r="G28" s="378">
        <f t="shared" si="2"/>
        <v>4752000</v>
      </c>
      <c r="H28" s="378">
        <f>D28-$D$26</f>
        <v>4125000</v>
      </c>
      <c r="I28" s="378">
        <f>D28-$D$27</f>
        <v>2475000</v>
      </c>
      <c r="J28" s="378"/>
      <c r="K28" s="378"/>
      <c r="L28" s="379"/>
    </row>
    <row r="29" spans="1:13" ht="16.5" customHeight="1" x14ac:dyDescent="0.2">
      <c r="B29" s="606"/>
      <c r="C29" s="377" t="s">
        <v>145</v>
      </c>
      <c r="D29" s="359">
        <f>date!K11</f>
        <v>9900000</v>
      </c>
      <c r="E29" s="378">
        <f t="shared" si="0"/>
        <v>9834000</v>
      </c>
      <c r="F29" s="378">
        <f t="shared" si="1"/>
        <v>9784500</v>
      </c>
      <c r="G29" s="378">
        <f t="shared" si="2"/>
        <v>9702000</v>
      </c>
      <c r="H29" s="378">
        <f>D29-$D$26</f>
        <v>9075000</v>
      </c>
      <c r="I29" s="378">
        <f>D29-$D$27</f>
        <v>7425000</v>
      </c>
      <c r="J29" s="378">
        <f>D29-$D$28</f>
        <v>4950000</v>
      </c>
      <c r="K29" s="378"/>
      <c r="L29" s="379"/>
    </row>
    <row r="30" spans="1:13" ht="16.5" customHeight="1" x14ac:dyDescent="0.2">
      <c r="B30" s="606"/>
      <c r="C30" s="377" t="s">
        <v>147</v>
      </c>
      <c r="D30" s="359">
        <f>date!K12</f>
        <v>19800000</v>
      </c>
      <c r="E30" s="378">
        <f t="shared" si="0"/>
        <v>19734000</v>
      </c>
      <c r="F30" s="378">
        <f t="shared" si="1"/>
        <v>19684500</v>
      </c>
      <c r="G30" s="378">
        <f t="shared" si="2"/>
        <v>19602000</v>
      </c>
      <c r="H30" s="378">
        <f>D30-$D$26</f>
        <v>18975000</v>
      </c>
      <c r="I30" s="378">
        <f>D30-$D$27</f>
        <v>17325000</v>
      </c>
      <c r="J30" s="378">
        <f>D30-$D$28</f>
        <v>14850000</v>
      </c>
      <c r="K30" s="378">
        <f>D30-$D$29</f>
        <v>9900000</v>
      </c>
      <c r="L30" s="379"/>
    </row>
    <row r="31" spans="1:13" ht="16.5" customHeight="1" x14ac:dyDescent="0.2">
      <c r="B31" s="607"/>
      <c r="C31" s="380" t="s">
        <v>149</v>
      </c>
      <c r="D31" s="381">
        <f>date!K13</f>
        <v>39600000</v>
      </c>
      <c r="E31" s="363">
        <f t="shared" si="0"/>
        <v>39534000</v>
      </c>
      <c r="F31" s="363">
        <f t="shared" si="1"/>
        <v>39484500</v>
      </c>
      <c r="G31" s="363">
        <f t="shared" si="2"/>
        <v>39402000</v>
      </c>
      <c r="H31" s="363">
        <f>D31-$D$26</f>
        <v>38775000</v>
      </c>
      <c r="I31" s="363">
        <f>D31-$D$27</f>
        <v>37125000</v>
      </c>
      <c r="J31" s="363">
        <f>D31-$D$28</f>
        <v>34650000</v>
      </c>
      <c r="K31" s="363">
        <f>D31-$D$29</f>
        <v>29700000</v>
      </c>
      <c r="L31" s="382">
        <f>D31-D30</f>
        <v>19800000</v>
      </c>
    </row>
    <row r="32" spans="1:13" ht="16.5" customHeight="1" x14ac:dyDescent="0.2">
      <c r="B32" s="601" t="s">
        <v>154</v>
      </c>
      <c r="C32" s="383" t="s">
        <v>131</v>
      </c>
      <c r="D32" s="384">
        <f>date!M5</f>
        <v>176000</v>
      </c>
      <c r="E32" s="385"/>
      <c r="F32" s="385"/>
      <c r="G32" s="385"/>
      <c r="H32" s="385"/>
      <c r="I32" s="385"/>
      <c r="J32" s="385"/>
      <c r="K32" s="385"/>
      <c r="L32" s="386"/>
    </row>
    <row r="33" spans="2:12" ht="16.5" customHeight="1" x14ac:dyDescent="0.2">
      <c r="B33" s="602"/>
      <c r="C33" s="377" t="s">
        <v>133</v>
      </c>
      <c r="D33" s="359">
        <f>date!M6</f>
        <v>308000</v>
      </c>
      <c r="E33" s="378">
        <f t="shared" ref="E33:E40" si="3">D33-$D$32</f>
        <v>132000</v>
      </c>
      <c r="F33" s="378"/>
      <c r="G33" s="378"/>
      <c r="H33" s="378"/>
      <c r="I33" s="378"/>
      <c r="J33" s="378"/>
      <c r="K33" s="378"/>
      <c r="L33" s="387"/>
    </row>
    <row r="34" spans="2:12" ht="16.5" customHeight="1" x14ac:dyDescent="0.2">
      <c r="B34" s="602"/>
      <c r="C34" s="377" t="s">
        <v>135</v>
      </c>
      <c r="D34" s="359">
        <f>date!M7</f>
        <v>528000</v>
      </c>
      <c r="E34" s="378">
        <f t="shared" si="3"/>
        <v>352000</v>
      </c>
      <c r="F34" s="378">
        <f>D34-$D$33</f>
        <v>220000</v>
      </c>
      <c r="G34" s="378"/>
      <c r="H34" s="378"/>
      <c r="I34" s="378"/>
      <c r="J34" s="378"/>
      <c r="K34" s="378"/>
      <c r="L34" s="387"/>
    </row>
    <row r="35" spans="2:12" ht="16.5" customHeight="1" x14ac:dyDescent="0.2">
      <c r="B35" s="602"/>
      <c r="C35" s="377" t="s">
        <v>138</v>
      </c>
      <c r="D35" s="359">
        <f>date!M8</f>
        <v>2200000</v>
      </c>
      <c r="E35" s="378">
        <f t="shared" si="3"/>
        <v>2024000</v>
      </c>
      <c r="F35" s="378">
        <f t="shared" ref="F35:F40" si="4">D35-$D$33</f>
        <v>1892000</v>
      </c>
      <c r="G35" s="378">
        <f t="shared" ref="G35:G40" si="5">D35-$D$34</f>
        <v>1672000</v>
      </c>
      <c r="H35" s="378"/>
      <c r="I35" s="378"/>
      <c r="J35" s="378"/>
      <c r="K35" s="378"/>
      <c r="L35" s="387"/>
    </row>
    <row r="36" spans="2:12" ht="16.5" customHeight="1" x14ac:dyDescent="0.2">
      <c r="B36" s="602"/>
      <c r="C36" s="377" t="s">
        <v>140</v>
      </c>
      <c r="D36" s="359">
        <f>date!M9</f>
        <v>6600000</v>
      </c>
      <c r="E36" s="378">
        <f t="shared" si="3"/>
        <v>6424000</v>
      </c>
      <c r="F36" s="378">
        <f t="shared" si="4"/>
        <v>6292000</v>
      </c>
      <c r="G36" s="378">
        <f t="shared" si="5"/>
        <v>6072000</v>
      </c>
      <c r="H36" s="378">
        <f>D36-$D$35</f>
        <v>4400000</v>
      </c>
      <c r="I36" s="378"/>
      <c r="J36" s="378"/>
      <c r="K36" s="378"/>
      <c r="L36" s="387"/>
    </row>
    <row r="37" spans="2:12" ht="16.5" customHeight="1" x14ac:dyDescent="0.2">
      <c r="B37" s="602"/>
      <c r="C37" s="377" t="s">
        <v>143</v>
      </c>
      <c r="D37" s="359">
        <f>date!M10</f>
        <v>13200000</v>
      </c>
      <c r="E37" s="378">
        <f t="shared" si="3"/>
        <v>13024000</v>
      </c>
      <c r="F37" s="378">
        <f t="shared" si="4"/>
        <v>12892000</v>
      </c>
      <c r="G37" s="378">
        <f t="shared" si="5"/>
        <v>12672000</v>
      </c>
      <c r="H37" s="378">
        <f>D37-$D$35</f>
        <v>11000000</v>
      </c>
      <c r="I37" s="378">
        <f>D37-$D$36</f>
        <v>6600000</v>
      </c>
      <c r="J37" s="378"/>
      <c r="K37" s="378"/>
      <c r="L37" s="387"/>
    </row>
    <row r="38" spans="2:12" ht="16.5" customHeight="1" x14ac:dyDescent="0.2">
      <c r="B38" s="602"/>
      <c r="C38" s="377" t="s">
        <v>145</v>
      </c>
      <c r="D38" s="359">
        <f>date!M11</f>
        <v>26400000</v>
      </c>
      <c r="E38" s="378">
        <f t="shared" si="3"/>
        <v>26224000</v>
      </c>
      <c r="F38" s="378">
        <f t="shared" si="4"/>
        <v>26092000</v>
      </c>
      <c r="G38" s="378">
        <f t="shared" si="5"/>
        <v>25872000</v>
      </c>
      <c r="H38" s="378">
        <f>D38-$D$35</f>
        <v>24200000</v>
      </c>
      <c r="I38" s="378">
        <f>D38-$D$36</f>
        <v>19800000</v>
      </c>
      <c r="J38" s="378">
        <f>D38-$D$37</f>
        <v>13200000</v>
      </c>
      <c r="K38" s="378"/>
      <c r="L38" s="387"/>
    </row>
    <row r="39" spans="2:12" ht="16.5" customHeight="1" x14ac:dyDescent="0.2">
      <c r="B39" s="602"/>
      <c r="C39" s="377" t="s">
        <v>147</v>
      </c>
      <c r="D39" s="359">
        <f>date!M12</f>
        <v>52800000</v>
      </c>
      <c r="E39" s="378">
        <f t="shared" si="3"/>
        <v>52624000</v>
      </c>
      <c r="F39" s="378">
        <f t="shared" si="4"/>
        <v>52492000</v>
      </c>
      <c r="G39" s="378">
        <f t="shared" si="5"/>
        <v>52272000</v>
      </c>
      <c r="H39" s="378">
        <f>D39-$D$35</f>
        <v>50600000</v>
      </c>
      <c r="I39" s="378">
        <f>D39-$D$36</f>
        <v>46200000</v>
      </c>
      <c r="J39" s="378">
        <f>D39-$D$37</f>
        <v>39600000</v>
      </c>
      <c r="K39" s="378">
        <f>D39-$D$38</f>
        <v>26400000</v>
      </c>
      <c r="L39" s="387"/>
    </row>
    <row r="40" spans="2:12" ht="16.5" customHeight="1" thickBot="1" x14ac:dyDescent="0.25">
      <c r="B40" s="603"/>
      <c r="C40" s="388" t="s">
        <v>149</v>
      </c>
      <c r="D40" s="365">
        <f>date!M13</f>
        <v>105600000</v>
      </c>
      <c r="E40" s="389">
        <f t="shared" si="3"/>
        <v>105424000</v>
      </c>
      <c r="F40" s="389">
        <f t="shared" si="4"/>
        <v>105292000</v>
      </c>
      <c r="G40" s="389">
        <f t="shared" si="5"/>
        <v>105072000</v>
      </c>
      <c r="H40" s="389">
        <f>D40-$D$35</f>
        <v>103400000</v>
      </c>
      <c r="I40" s="389">
        <f>D40-$D$36</f>
        <v>99000000</v>
      </c>
      <c r="J40" s="389">
        <f>D40-$D$37</f>
        <v>92400000</v>
      </c>
      <c r="K40" s="389">
        <f>D40-$D$38</f>
        <v>79200000</v>
      </c>
      <c r="L40" s="390">
        <f>D40-D39</f>
        <v>52800000</v>
      </c>
    </row>
    <row r="41" spans="2:12" ht="16.5" customHeight="1" x14ac:dyDescent="0.2">
      <c r="B41" s="422"/>
      <c r="C41" s="423"/>
      <c r="D41" s="424"/>
      <c r="E41" s="425"/>
      <c r="F41" s="425"/>
      <c r="G41" s="425"/>
      <c r="H41" s="425"/>
      <c r="I41" s="425"/>
      <c r="J41" s="425"/>
      <c r="K41" s="425"/>
      <c r="L41" s="425"/>
    </row>
    <row r="42" spans="2:12" ht="0" hidden="1" customHeight="1" x14ac:dyDescent="0.2"/>
  </sheetData>
  <sheetProtection password="EC26" sheet="1" objects="1" scenarios="1" selectLockedCells="1" selectUnlockedCells="1"/>
  <mergeCells count="18">
    <mergeCell ref="B32:B40"/>
    <mergeCell ref="J10:L11"/>
    <mergeCell ref="B15:G15"/>
    <mergeCell ref="B21:B31"/>
    <mergeCell ref="C21:C22"/>
    <mergeCell ref="D21:D22"/>
    <mergeCell ref="E21:L21"/>
    <mergeCell ref="B14:G14"/>
    <mergeCell ref="H2:H3"/>
    <mergeCell ref="J2:J3"/>
    <mergeCell ref="K2:L2"/>
    <mergeCell ref="J6:L7"/>
    <mergeCell ref="J8:L9"/>
    <mergeCell ref="B1:E1"/>
    <mergeCell ref="B2:B3"/>
    <mergeCell ref="C2:D2"/>
    <mergeCell ref="E2:E3"/>
    <mergeCell ref="F2:G2"/>
  </mergeCells>
  <phoneticPr fontId="9"/>
  <pageMargins left="0.59055118110236227" right="0.39370078740157483" top="0.39370078740157483" bottom="0.39370078740157483" header="0.31496062992125984" footer="0.31496062992125984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48"/>
  <sheetViews>
    <sheetView showGridLines="0" showRowColHeaders="0" topLeftCell="A34" zoomScale="120" zoomScaleNormal="120" workbookViewId="0">
      <selection activeCell="H32" sqref="H32"/>
    </sheetView>
  </sheetViews>
  <sheetFormatPr defaultRowHeight="13" x14ac:dyDescent="0.2"/>
  <cols>
    <col min="2" max="2" width="10" bestFit="1" customWidth="1"/>
    <col min="5" max="5" width="10" customWidth="1"/>
    <col min="10" max="10" width="6.453125" bestFit="1" customWidth="1"/>
    <col min="11" max="11" width="11" customWidth="1"/>
    <col min="12" max="12" width="4.453125" bestFit="1" customWidth="1"/>
    <col min="13" max="13" width="11.90625" customWidth="1"/>
  </cols>
  <sheetData>
    <row r="2" spans="2:13" x14ac:dyDescent="0.2">
      <c r="B2" s="312" t="s">
        <v>69</v>
      </c>
      <c r="D2" s="623" t="s">
        <v>162</v>
      </c>
      <c r="E2" s="624"/>
      <c r="G2" s="620" t="s">
        <v>9</v>
      </c>
      <c r="H2" s="620"/>
      <c r="J2" s="625" t="s">
        <v>34</v>
      </c>
      <c r="K2" s="626"/>
      <c r="L2" s="626"/>
      <c r="M2" s="618"/>
    </row>
    <row r="3" spans="2:13" x14ac:dyDescent="0.2">
      <c r="B3" s="5" t="s">
        <v>163</v>
      </c>
      <c r="D3" s="312" t="s">
        <v>0</v>
      </c>
      <c r="E3" s="3" t="s">
        <v>1</v>
      </c>
      <c r="G3" s="258" t="s">
        <v>164</v>
      </c>
      <c r="H3" s="317">
        <v>-62700</v>
      </c>
      <c r="J3" s="619" t="s">
        <v>13</v>
      </c>
      <c r="K3" s="619"/>
      <c r="L3" s="619" t="s">
        <v>14</v>
      </c>
      <c r="M3" s="619"/>
    </row>
    <row r="4" spans="2:13" x14ac:dyDescent="0.2">
      <c r="B4" s="258">
        <v>13</v>
      </c>
      <c r="D4" s="258">
        <v>13</v>
      </c>
      <c r="E4" s="317">
        <v>189200</v>
      </c>
      <c r="G4" s="257" t="s">
        <v>165</v>
      </c>
      <c r="H4" s="257">
        <v>0</v>
      </c>
      <c r="J4" s="4" t="s">
        <v>165</v>
      </c>
      <c r="K4" s="316">
        <v>0</v>
      </c>
      <c r="L4" s="4" t="s">
        <v>165</v>
      </c>
      <c r="M4" s="316">
        <v>0</v>
      </c>
    </row>
    <row r="5" spans="2:13" x14ac:dyDescent="0.2">
      <c r="B5" s="2">
        <v>20</v>
      </c>
      <c r="D5" s="2">
        <v>20</v>
      </c>
      <c r="E5" s="318">
        <v>189200</v>
      </c>
      <c r="J5" s="258">
        <v>13</v>
      </c>
      <c r="K5" s="317">
        <v>66000</v>
      </c>
      <c r="L5" s="258">
        <v>13</v>
      </c>
      <c r="M5" s="317">
        <v>176000</v>
      </c>
    </row>
    <row r="6" spans="2:13" x14ac:dyDescent="0.2">
      <c r="B6" s="2">
        <v>25</v>
      </c>
      <c r="D6" s="2">
        <v>25</v>
      </c>
      <c r="E6" s="318">
        <v>239800</v>
      </c>
      <c r="J6" s="2">
        <v>20</v>
      </c>
      <c r="K6" s="318">
        <v>115500</v>
      </c>
      <c r="L6" s="2">
        <v>20</v>
      </c>
      <c r="M6" s="318">
        <v>308000</v>
      </c>
    </row>
    <row r="7" spans="2:13" x14ac:dyDescent="0.2">
      <c r="B7" s="239">
        <v>30</v>
      </c>
      <c r="D7" s="2">
        <v>40</v>
      </c>
      <c r="E7" s="318">
        <v>578600</v>
      </c>
      <c r="G7" s="620" t="s">
        <v>8</v>
      </c>
      <c r="H7" s="620"/>
      <c r="J7" s="2">
        <v>25</v>
      </c>
      <c r="K7" s="318">
        <v>198000</v>
      </c>
      <c r="L7" s="2">
        <v>25</v>
      </c>
      <c r="M7" s="318">
        <v>528000</v>
      </c>
    </row>
    <row r="8" spans="2:13" x14ac:dyDescent="0.2">
      <c r="B8" s="2">
        <v>40</v>
      </c>
      <c r="D8" s="2">
        <v>50</v>
      </c>
      <c r="E8" s="318">
        <v>798600</v>
      </c>
      <c r="G8" s="258" t="s">
        <v>166</v>
      </c>
      <c r="H8" s="317">
        <v>-105600</v>
      </c>
      <c r="J8" s="2">
        <v>40</v>
      </c>
      <c r="K8" s="318">
        <v>825000</v>
      </c>
      <c r="L8" s="2">
        <v>40</v>
      </c>
      <c r="M8" s="318">
        <v>2200000</v>
      </c>
    </row>
    <row r="9" spans="2:13" x14ac:dyDescent="0.2">
      <c r="B9" s="2">
        <v>50</v>
      </c>
      <c r="D9" s="2">
        <v>75</v>
      </c>
      <c r="E9" s="318">
        <v>1647800</v>
      </c>
      <c r="G9" s="257" t="s">
        <v>165</v>
      </c>
      <c r="H9" s="257">
        <v>0</v>
      </c>
      <c r="J9" s="2">
        <v>50</v>
      </c>
      <c r="K9" s="318">
        <v>2475000</v>
      </c>
      <c r="L9" s="2">
        <v>50</v>
      </c>
      <c r="M9" s="318">
        <v>6600000</v>
      </c>
    </row>
    <row r="10" spans="2:13" x14ac:dyDescent="0.2">
      <c r="B10" s="2">
        <v>75</v>
      </c>
      <c r="D10" s="2">
        <v>100</v>
      </c>
      <c r="E10" s="318">
        <v>2016300</v>
      </c>
      <c r="J10" s="2">
        <v>75</v>
      </c>
      <c r="K10" s="318">
        <v>4950000</v>
      </c>
      <c r="L10" s="2">
        <v>75</v>
      </c>
      <c r="M10" s="318">
        <v>13200000</v>
      </c>
    </row>
    <row r="11" spans="2:13" x14ac:dyDescent="0.2">
      <c r="B11" s="2">
        <v>100</v>
      </c>
      <c r="D11" s="2">
        <v>150</v>
      </c>
      <c r="E11" s="318">
        <v>3426500</v>
      </c>
      <c r="G11" s="312" t="s">
        <v>96</v>
      </c>
      <c r="J11" s="2">
        <v>100</v>
      </c>
      <c r="K11" s="318">
        <v>9900000</v>
      </c>
      <c r="L11" s="2">
        <v>100</v>
      </c>
      <c r="M11" s="318">
        <v>26400000</v>
      </c>
    </row>
    <row r="12" spans="2:13" x14ac:dyDescent="0.2">
      <c r="B12" s="257">
        <v>150</v>
      </c>
      <c r="D12" s="257">
        <v>200</v>
      </c>
      <c r="E12" s="319">
        <v>5824500</v>
      </c>
      <c r="G12" s="2" t="s">
        <v>97</v>
      </c>
      <c r="J12" s="2">
        <v>150</v>
      </c>
      <c r="K12" s="318">
        <v>19800000</v>
      </c>
      <c r="L12" s="2">
        <v>150</v>
      </c>
      <c r="M12" s="318">
        <v>52800000</v>
      </c>
    </row>
    <row r="13" spans="2:13" x14ac:dyDescent="0.2">
      <c r="B13" s="1"/>
      <c r="D13" s="1"/>
      <c r="E13" s="1"/>
      <c r="G13" s="257" t="s">
        <v>98</v>
      </c>
      <c r="J13" s="257">
        <v>200</v>
      </c>
      <c r="K13" s="319">
        <v>39600000</v>
      </c>
      <c r="L13" s="257">
        <v>200</v>
      </c>
      <c r="M13" s="319">
        <v>105600000</v>
      </c>
    </row>
    <row r="14" spans="2:13" x14ac:dyDescent="0.2">
      <c r="B14" s="1"/>
      <c r="D14" s="623" t="s">
        <v>162</v>
      </c>
      <c r="E14" s="624"/>
    </row>
    <row r="15" spans="2:13" x14ac:dyDescent="0.2">
      <c r="B15" s="312" t="s">
        <v>70</v>
      </c>
      <c r="D15" s="312" t="s">
        <v>0</v>
      </c>
      <c r="E15" s="3" t="s">
        <v>2</v>
      </c>
    </row>
    <row r="16" spans="2:13" x14ac:dyDescent="0.2">
      <c r="B16" s="258">
        <v>13</v>
      </c>
      <c r="D16" s="258">
        <v>13</v>
      </c>
      <c r="E16" s="317">
        <v>316800</v>
      </c>
      <c r="G16" s="312" t="s">
        <v>105</v>
      </c>
      <c r="J16" s="312" t="s">
        <v>99</v>
      </c>
      <c r="K16" s="312"/>
    </row>
    <row r="17" spans="2:11" x14ac:dyDescent="0.2">
      <c r="B17" s="2">
        <v>20</v>
      </c>
      <c r="D17" s="2">
        <v>20</v>
      </c>
      <c r="E17" s="318">
        <v>316800</v>
      </c>
      <c r="G17" s="418">
        <v>0.1</v>
      </c>
      <c r="J17" s="418" t="s">
        <v>0</v>
      </c>
      <c r="K17" s="312" t="s">
        <v>33</v>
      </c>
    </row>
    <row r="18" spans="2:11" x14ac:dyDescent="0.2">
      <c r="B18" s="2">
        <v>25</v>
      </c>
      <c r="D18" s="2">
        <v>25</v>
      </c>
      <c r="E18" s="318">
        <v>377300</v>
      </c>
      <c r="J18" s="313">
        <v>13</v>
      </c>
      <c r="K18" s="320">
        <v>1010</v>
      </c>
    </row>
    <row r="19" spans="2:11" ht="13.5" customHeight="1" x14ac:dyDescent="0.2">
      <c r="B19" s="239">
        <v>40</v>
      </c>
      <c r="D19" s="2">
        <v>40</v>
      </c>
      <c r="E19" s="318">
        <v>1007600</v>
      </c>
      <c r="J19" s="2">
        <v>20</v>
      </c>
      <c r="K19" s="321">
        <v>1120</v>
      </c>
    </row>
    <row r="20" spans="2:11" x14ac:dyDescent="0.2">
      <c r="B20" s="2">
        <v>50</v>
      </c>
      <c r="D20" s="2">
        <v>50</v>
      </c>
      <c r="E20" s="318">
        <v>1170400</v>
      </c>
      <c r="G20" s="312" t="s">
        <v>3</v>
      </c>
      <c r="J20" s="2">
        <v>25</v>
      </c>
      <c r="K20" s="321">
        <v>2400</v>
      </c>
    </row>
    <row r="21" spans="2:11" x14ac:dyDescent="0.2">
      <c r="B21" s="2">
        <v>75</v>
      </c>
      <c r="D21" s="2">
        <v>75</v>
      </c>
      <c r="E21" s="318">
        <v>2294600</v>
      </c>
      <c r="G21" s="346">
        <v>5500</v>
      </c>
      <c r="J21" s="2">
        <v>30</v>
      </c>
      <c r="K21" s="321">
        <v>4300</v>
      </c>
    </row>
    <row r="22" spans="2:11" x14ac:dyDescent="0.2">
      <c r="B22" s="2">
        <v>100</v>
      </c>
      <c r="D22" s="2">
        <v>100</v>
      </c>
      <c r="E22" s="318">
        <v>2702700</v>
      </c>
      <c r="J22" s="2">
        <v>40</v>
      </c>
      <c r="K22" s="321">
        <v>11000</v>
      </c>
    </row>
    <row r="23" spans="2:11" ht="13.5" customHeight="1" x14ac:dyDescent="0.2">
      <c r="B23" s="2">
        <v>150</v>
      </c>
      <c r="D23" s="2">
        <v>150</v>
      </c>
      <c r="E23" s="318">
        <v>4593600</v>
      </c>
      <c r="J23" s="2">
        <v>50</v>
      </c>
      <c r="K23" s="321">
        <v>50000</v>
      </c>
    </row>
    <row r="24" spans="2:11" ht="13.5" customHeight="1" x14ac:dyDescent="0.2">
      <c r="B24" s="257">
        <v>200</v>
      </c>
      <c r="D24" s="257">
        <v>200</v>
      </c>
      <c r="E24" s="319">
        <v>7807800</v>
      </c>
      <c r="J24" s="2">
        <v>75</v>
      </c>
      <c r="K24" s="321">
        <v>115000</v>
      </c>
    </row>
    <row r="25" spans="2:11" ht="14.25" customHeight="1" x14ac:dyDescent="0.2">
      <c r="J25" s="2">
        <v>100</v>
      </c>
      <c r="K25" s="321">
        <v>250000</v>
      </c>
    </row>
    <row r="26" spans="2:11" x14ac:dyDescent="0.2">
      <c r="B26" s="1"/>
      <c r="I26" s="7"/>
      <c r="J26" s="257">
        <v>150</v>
      </c>
      <c r="K26" s="322">
        <v>500000</v>
      </c>
    </row>
    <row r="27" spans="2:11" x14ac:dyDescent="0.2">
      <c r="I27" s="7"/>
      <c r="J27" s="6"/>
    </row>
    <row r="28" spans="2:11" x14ac:dyDescent="0.2">
      <c r="B28" s="312" t="s">
        <v>4</v>
      </c>
      <c r="D28" s="312" t="s">
        <v>2</v>
      </c>
      <c r="F28" s="312" t="s">
        <v>1</v>
      </c>
      <c r="J28" s="7"/>
    </row>
    <row r="29" spans="2:11" x14ac:dyDescent="0.2">
      <c r="B29" s="313" t="s">
        <v>1</v>
      </c>
      <c r="D29" s="258" t="s">
        <v>167</v>
      </c>
      <c r="F29" s="312" t="s">
        <v>168</v>
      </c>
      <c r="J29" s="7"/>
    </row>
    <row r="30" spans="2:11" x14ac:dyDescent="0.2">
      <c r="B30" s="257" t="s">
        <v>2</v>
      </c>
      <c r="D30" s="457" t="s">
        <v>189</v>
      </c>
      <c r="J30" s="312" t="s">
        <v>100</v>
      </c>
      <c r="K30" s="312"/>
    </row>
    <row r="31" spans="2:11" x14ac:dyDescent="0.2">
      <c r="D31" s="458" t="s">
        <v>188</v>
      </c>
      <c r="J31" s="418" t="s">
        <v>0</v>
      </c>
      <c r="K31" s="312" t="s">
        <v>33</v>
      </c>
    </row>
    <row r="32" spans="2:11" x14ac:dyDescent="0.2">
      <c r="J32" s="313" t="s">
        <v>97</v>
      </c>
      <c r="K32" s="320">
        <v>6900</v>
      </c>
    </row>
    <row r="33" spans="2:11" ht="13.5" customHeight="1" x14ac:dyDescent="0.2">
      <c r="B33" s="312" t="s">
        <v>111</v>
      </c>
      <c r="D33" s="616" t="s">
        <v>184</v>
      </c>
      <c r="E33" s="617"/>
      <c r="F33" s="618"/>
      <c r="G33" s="621" t="s">
        <v>185</v>
      </c>
      <c r="H33" s="622"/>
      <c r="J33" s="257" t="s">
        <v>98</v>
      </c>
      <c r="K33" s="322">
        <v>30000</v>
      </c>
    </row>
    <row r="34" spans="2:11" x14ac:dyDescent="0.2">
      <c r="B34" s="5" t="s">
        <v>168</v>
      </c>
      <c r="D34" s="312" t="s">
        <v>106</v>
      </c>
      <c r="E34" s="412" t="s">
        <v>158</v>
      </c>
      <c r="F34" s="412" t="s">
        <v>159</v>
      </c>
      <c r="G34" s="412" t="s">
        <v>158</v>
      </c>
      <c r="H34" s="412" t="s">
        <v>159</v>
      </c>
    </row>
    <row r="35" spans="2:11" x14ac:dyDescent="0.2">
      <c r="B35" s="258">
        <v>13</v>
      </c>
      <c r="D35" s="313" t="s">
        <v>169</v>
      </c>
      <c r="E35" s="323">
        <v>-74800</v>
      </c>
      <c r="F35" s="323">
        <v>-100980</v>
      </c>
      <c r="G35" s="452">
        <f>E35/2</f>
        <v>-37400</v>
      </c>
      <c r="H35" s="323">
        <f>F35/2</f>
        <v>-50490</v>
      </c>
    </row>
    <row r="36" spans="2:11" x14ac:dyDescent="0.2">
      <c r="B36" s="2">
        <v>20</v>
      </c>
      <c r="D36" s="2" t="s">
        <v>170</v>
      </c>
      <c r="E36" s="318">
        <v>-198000</v>
      </c>
      <c r="F36" s="318">
        <v>-267300</v>
      </c>
      <c r="G36" s="318">
        <f t="shared" ref="G36:G37" si="0">E36/2</f>
        <v>-99000</v>
      </c>
      <c r="H36" s="318">
        <f>F36/2</f>
        <v>-133650</v>
      </c>
    </row>
    <row r="37" spans="2:11" x14ac:dyDescent="0.2">
      <c r="B37" s="2">
        <v>25</v>
      </c>
      <c r="D37" s="257" t="s">
        <v>107</v>
      </c>
      <c r="E37" s="319">
        <v>-240900</v>
      </c>
      <c r="F37" s="319">
        <v>-325215</v>
      </c>
      <c r="G37" s="453">
        <f t="shared" si="0"/>
        <v>-120450</v>
      </c>
      <c r="H37" s="319">
        <f>F37/2</f>
        <v>-162607.5</v>
      </c>
    </row>
    <row r="38" spans="2:11" x14ac:dyDescent="0.2">
      <c r="B38" s="2">
        <v>40</v>
      </c>
    </row>
    <row r="39" spans="2:11" x14ac:dyDescent="0.2">
      <c r="B39" s="2">
        <v>50</v>
      </c>
    </row>
    <row r="40" spans="2:11" x14ac:dyDescent="0.2">
      <c r="B40" s="2">
        <v>75</v>
      </c>
      <c r="D40" s="619" t="s">
        <v>108</v>
      </c>
      <c r="E40" s="619"/>
    </row>
    <row r="41" spans="2:11" x14ac:dyDescent="0.2">
      <c r="B41" s="2">
        <v>100</v>
      </c>
      <c r="D41" s="314" t="s">
        <v>109</v>
      </c>
      <c r="E41" s="323">
        <v>9600</v>
      </c>
    </row>
    <row r="42" spans="2:11" x14ac:dyDescent="0.2">
      <c r="B42" s="2">
        <v>150</v>
      </c>
      <c r="D42" s="315" t="s">
        <v>110</v>
      </c>
      <c r="E42" s="319">
        <v>2600</v>
      </c>
    </row>
    <row r="43" spans="2:11" x14ac:dyDescent="0.2">
      <c r="B43" s="311">
        <v>200</v>
      </c>
    </row>
    <row r="44" spans="2:11" x14ac:dyDescent="0.2">
      <c r="B44" s="257"/>
    </row>
    <row r="45" spans="2:11" x14ac:dyDescent="0.2">
      <c r="D45" s="616" t="s">
        <v>171</v>
      </c>
      <c r="E45" s="617"/>
      <c r="F45" s="618"/>
    </row>
    <row r="46" spans="2:11" x14ac:dyDescent="0.2">
      <c r="D46" s="312" t="s">
        <v>172</v>
      </c>
      <c r="E46" s="412" t="s">
        <v>174</v>
      </c>
      <c r="F46" s="412" t="s">
        <v>175</v>
      </c>
    </row>
    <row r="47" spans="2:11" x14ac:dyDescent="0.2">
      <c r="D47" s="313" t="s">
        <v>176</v>
      </c>
      <c r="E47" s="323">
        <v>44000</v>
      </c>
      <c r="F47" s="323">
        <v>77000</v>
      </c>
    </row>
    <row r="48" spans="2:11" x14ac:dyDescent="0.2">
      <c r="D48" s="257" t="s">
        <v>177</v>
      </c>
      <c r="E48" s="319">
        <v>59400</v>
      </c>
      <c r="F48" s="319">
        <v>103950</v>
      </c>
    </row>
  </sheetData>
  <sheetProtection password="EC26" sheet="1" selectLockedCells="1" selectUnlockedCells="1"/>
  <autoFilter ref="J2:M13" xr:uid="{00000000-0009-0000-0000-000003000000}">
    <filterColumn colId="0" showButton="0"/>
    <filterColumn colId="1" showButton="0"/>
    <filterColumn colId="2" showButton="0"/>
  </autoFilter>
  <mergeCells count="11">
    <mergeCell ref="L3:M3"/>
    <mergeCell ref="D2:E2"/>
    <mergeCell ref="D14:E14"/>
    <mergeCell ref="J2:M2"/>
    <mergeCell ref="D33:F33"/>
    <mergeCell ref="D45:F45"/>
    <mergeCell ref="D40:E40"/>
    <mergeCell ref="G2:H2"/>
    <mergeCell ref="G7:H7"/>
    <mergeCell ref="J3:K3"/>
    <mergeCell ref="G33:H33"/>
  </mergeCells>
  <phoneticPr fontId="1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20" sqref="D20"/>
    </sheetView>
  </sheetViews>
  <sheetFormatPr defaultRowHeight="13" x14ac:dyDescent="0.2"/>
  <sheetData/>
  <phoneticPr fontId="6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19</vt:i4>
      </vt:variant>
    </vt:vector>
  </HeadingPairs>
  <TitlesOfParts>
    <vt:vector size="24" baseType="lpstr">
      <vt:lpstr>水道料金計算表</vt:lpstr>
      <vt:lpstr>市納金計算表</vt:lpstr>
      <vt:lpstr>市納金一覧</vt:lpstr>
      <vt:lpstr>date</vt:lpstr>
      <vt:lpstr>Sheet1</vt:lpstr>
      <vt:lpstr>市納金一覧!Print_Area</vt:lpstr>
      <vt:lpstr>市納金計算表!Print_Area</vt:lpstr>
      <vt:lpstr>水道料金計算表!Print_Area</vt:lpstr>
      <vt:lpstr>水道料金計算表!Print_Titles</vt:lpstr>
      <vt:lpstr>加入金乙</vt:lpstr>
      <vt:lpstr>加入金甲</vt:lpstr>
      <vt:lpstr>口径1</vt:lpstr>
      <vt:lpstr>口径2</vt:lpstr>
      <vt:lpstr>口径3</vt:lpstr>
      <vt:lpstr>口径金額砂利道</vt:lpstr>
      <vt:lpstr>口径金額舗装道</vt:lpstr>
      <vt:lpstr>口径変更砂利道</vt:lpstr>
      <vt:lpstr>口径変更舗装道</vt:lpstr>
      <vt:lpstr>砂利道</vt:lpstr>
      <vt:lpstr>準備料金</vt:lpstr>
      <vt:lpstr>準備料金2</vt:lpstr>
      <vt:lpstr>撤去口径</vt:lpstr>
      <vt:lpstr>道路形態</vt:lpstr>
      <vt:lpstr>舗装道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雅俊</dc:creator>
  <cp:lastModifiedBy>Windows ユーザー</cp:lastModifiedBy>
  <dcterms:created xsi:type="dcterms:W3CDTF">2020-02-25T05:31:38Z</dcterms:created>
  <dcterms:modified xsi:type="dcterms:W3CDTF">2020-08-12T06:59:05Z</dcterms:modified>
</cp:coreProperties>
</file>