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codeName="ThisWorkbook"/>
  <mc:AlternateContent xmlns:mc="http://schemas.openxmlformats.org/markup-compatibility/2006">
    <mc:Choice Requires="x15">
      <x15ac:absPath xmlns:x15ac="http://schemas.microsoft.com/office/spreadsheetml/2010/11/ac" url="\\FILSV005\kenkou\国民健康保険課\管理係\02賦  課\02 料率\保険料窓口試算\R6年保険料試算\"/>
    </mc:Choice>
  </mc:AlternateContent>
  <xr:revisionPtr revIDLastSave="0" documentId="13_ncr:1_{1F38B35D-4766-4823-9D8B-54F30F54D00F}" xr6:coauthVersionLast="36" xr6:coauthVersionMax="36" xr10:uidLastSave="{00000000-0000-0000-0000-000000000000}"/>
  <workbookProtection workbookPassword="D117" lockStructure="1"/>
  <bookViews>
    <workbookView xWindow="120" yWindow="36" windowWidth="7488" windowHeight="4968" xr2:uid="{00000000-000D-0000-FFFF-FFFF00000000}"/>
  </bookViews>
  <sheets>
    <sheet name="試算シート" sheetId="26" r:id="rId1"/>
    <sheet name="料率" sheetId="23" state="hidden" r:id="rId2"/>
    <sheet name="試算表" sheetId="24" state="hidden" r:id="rId3"/>
    <sheet name="試算個人別" sheetId="27" state="hidden" r:id="rId4"/>
  </sheets>
  <definedNames>
    <definedName name="_xlnm.Print_Area" localSheetId="3">試算個人別!$A$1:$AF$49</definedName>
    <definedName name="_xlnm.Print_Area" localSheetId="2">試算表!$A$1:$BN$64</definedName>
    <definedName name="_xlnm.Print_Area" localSheetId="1">料率!$A$1:$AF$57</definedName>
  </definedNames>
  <calcPr calcId="191029"/>
</workbook>
</file>

<file path=xl/calcChain.xml><?xml version="1.0" encoding="utf-8"?>
<calcChain xmlns="http://schemas.openxmlformats.org/spreadsheetml/2006/main">
  <c r="CJ9" i="24" l="1"/>
  <c r="CP9" i="24" l="1"/>
  <c r="CP11" i="24" s="1"/>
  <c r="CY43" i="24" s="1"/>
  <c r="CU9" i="24"/>
  <c r="CU11" i="24" s="1"/>
  <c r="CY44" i="24" s="1"/>
  <c r="CZ9" i="24"/>
  <c r="CJ37" i="24" s="1"/>
  <c r="DE9" i="24"/>
  <c r="CR46" i="24" s="1"/>
  <c r="CJ11" i="24"/>
  <c r="CY42" i="24" s="1"/>
  <c r="DO11" i="24"/>
  <c r="DR11" i="24"/>
  <c r="CJ12" i="24"/>
  <c r="CS12" i="24"/>
  <c r="CX12" i="24"/>
  <c r="DC12" i="24"/>
  <c r="DH12" i="24"/>
  <c r="DM14" i="24"/>
  <c r="DO16" i="24"/>
  <c r="DO17" i="24"/>
  <c r="CY47" i="24" s="1"/>
  <c r="DO18" i="24"/>
  <c r="DF23" i="24"/>
  <c r="CJ39" i="24"/>
  <c r="CN39" i="24" s="1"/>
  <c r="CK39" i="24"/>
  <c r="CL39" i="24"/>
  <c r="CM39" i="24"/>
  <c r="CO39" i="24"/>
  <c r="CH42" i="24"/>
  <c r="CH47" i="24"/>
  <c r="CM47" i="24"/>
  <c r="CR47" i="24"/>
  <c r="CJ55" i="24"/>
  <c r="DF21" i="24" s="1"/>
  <c r="CJ36" i="24" l="1"/>
  <c r="CK36" i="24" s="1"/>
  <c r="CR44" i="24"/>
  <c r="CJ38" i="24"/>
  <c r="CK38" i="24" s="1"/>
  <c r="CH46" i="24"/>
  <c r="CM46" i="24"/>
  <c r="CO38" i="24"/>
  <c r="CM38" i="24"/>
  <c r="DE11" i="24"/>
  <c r="CY46" i="24" s="1"/>
  <c r="CL38" i="24"/>
  <c r="CO34" i="24"/>
  <c r="CM34" i="24"/>
  <c r="CL34" i="24"/>
  <c r="CR42" i="24"/>
  <c r="CJ34" i="24"/>
  <c r="CK34" i="24" s="1"/>
  <c r="CO35" i="24"/>
  <c r="CH43" i="24"/>
  <c r="CL35" i="24"/>
  <c r="CJ35" i="24"/>
  <c r="CK35" i="24" s="1"/>
  <c r="CR43" i="24"/>
  <c r="CM35" i="24"/>
  <c r="CL36" i="24"/>
  <c r="CH44" i="24"/>
  <c r="CO36" i="24"/>
  <c r="CM36" i="24"/>
  <c r="CK37" i="24"/>
  <c r="CH45" i="24"/>
  <c r="CO37" i="24"/>
  <c r="CM37" i="24"/>
  <c r="CZ11" i="24"/>
  <c r="CY45" i="24" s="1"/>
  <c r="CY48" i="24" s="1"/>
  <c r="CL37" i="24"/>
  <c r="CN37" i="24" s="1"/>
  <c r="CR45" i="24"/>
  <c r="CM45" i="24"/>
  <c r="BX15" i="24"/>
  <c r="BX7" i="24"/>
  <c r="BX20" i="24"/>
  <c r="R21" i="26"/>
  <c r="CM44" i="24" s="1"/>
  <c r="V21" i="26"/>
  <c r="Z21" i="26"/>
  <c r="N21" i="26"/>
  <c r="CM43" i="24" s="1"/>
  <c r="I21" i="26"/>
  <c r="CM42" i="24" s="1"/>
  <c r="CN38" i="24" l="1"/>
  <c r="CN36" i="24"/>
  <c r="CR48" i="24"/>
  <c r="CN51" i="24" s="1"/>
  <c r="CQ2" i="24"/>
  <c r="CG64" i="24"/>
  <c r="CQ4" i="24"/>
  <c r="CJ57" i="24"/>
  <c r="CM48" i="24"/>
  <c r="CL60" i="24" s="1"/>
  <c r="CH48" i="24"/>
  <c r="CL61" i="24" s="1"/>
  <c r="CG68" i="24"/>
  <c r="CN35" i="24"/>
  <c r="CN34" i="24"/>
  <c r="CG66" i="24"/>
  <c r="BX29" i="24"/>
  <c r="DH65" i="24" l="1"/>
  <c r="DL70" i="24" s="1"/>
  <c r="CN53" i="24"/>
  <c r="AV50" i="24"/>
  <c r="R50" i="24"/>
  <c r="M50" i="24"/>
  <c r="AV48" i="24"/>
  <c r="BJ49" i="24" s="1"/>
  <c r="R48" i="24"/>
  <c r="M48" i="24"/>
  <c r="R46" i="24"/>
  <c r="M46" i="24"/>
  <c r="R44" i="24"/>
  <c r="M44" i="24"/>
  <c r="R42" i="24"/>
  <c r="M42" i="24"/>
  <c r="R40" i="24"/>
  <c r="M40" i="24"/>
  <c r="BT28" i="24"/>
  <c r="BP28" i="24"/>
  <c r="BT27" i="24"/>
  <c r="BP27" i="24"/>
  <c r="BT26" i="24"/>
  <c r="BP26" i="24"/>
  <c r="CB23" i="24"/>
  <c r="AY22" i="24"/>
  <c r="AT22" i="24"/>
  <c r="M22" i="24"/>
  <c r="BT20" i="24"/>
  <c r="AY20" i="24"/>
  <c r="AT20" i="24"/>
  <c r="M20" i="24"/>
  <c r="AY18" i="24"/>
  <c r="AT18" i="24"/>
  <c r="M18" i="24"/>
  <c r="AY16" i="24"/>
  <c r="AT16" i="24"/>
  <c r="M16" i="24"/>
  <c r="AY14" i="24"/>
  <c r="AT14" i="24"/>
  <c r="M14" i="24"/>
  <c r="BT12" i="24"/>
  <c r="AY12" i="24"/>
  <c r="AT12" i="24"/>
  <c r="M12" i="24"/>
  <c r="C40" i="24" l="1"/>
  <c r="AJ12" i="24"/>
  <c r="C12" i="24"/>
  <c r="AC40" i="24" l="1"/>
  <c r="AC12" i="24"/>
  <c r="A1" i="27" l="1"/>
  <c r="BA50" i="24" l="1"/>
  <c r="BR46" i="24"/>
  <c r="B11" i="23"/>
  <c r="F11" i="23"/>
  <c r="I11" i="23"/>
  <c r="V11" i="23"/>
  <c r="Z11" i="23"/>
  <c r="AC11" i="23"/>
  <c r="R18" i="24" l="1"/>
  <c r="R14" i="24"/>
  <c r="R20" i="24"/>
  <c r="R16" i="24"/>
  <c r="R12" i="24"/>
  <c r="R22" i="24"/>
  <c r="AC18" i="24"/>
  <c r="AC46" i="24"/>
  <c r="G44" i="24"/>
  <c r="G16" i="24"/>
  <c r="AC42" i="24"/>
  <c r="AC14" i="24"/>
  <c r="G42" i="24"/>
  <c r="G14" i="24"/>
  <c r="G18" i="24"/>
  <c r="G46" i="24"/>
  <c r="G22" i="24"/>
  <c r="G50" i="24"/>
  <c r="G48" i="24"/>
  <c r="G20" i="24"/>
  <c r="AC22" i="24"/>
  <c r="AC50" i="24"/>
  <c r="BP20" i="24"/>
  <c r="L37" i="27" s="1"/>
  <c r="BP12" i="24"/>
  <c r="L17" i="27" s="1"/>
  <c r="AC48" i="24"/>
  <c r="AC20" i="24"/>
  <c r="AC44" i="24"/>
  <c r="AC16" i="24"/>
  <c r="AJ5" i="24"/>
  <c r="BP11" i="24"/>
  <c r="BP18" i="24"/>
  <c r="BP17" i="24"/>
  <c r="I27" i="24"/>
  <c r="BA48" i="24"/>
  <c r="I35" i="26" l="1"/>
  <c r="L5" i="24"/>
  <c r="BP25" i="24"/>
  <c r="BP8" i="24"/>
  <c r="BP24" i="24"/>
  <c r="BP19" i="24"/>
  <c r="BP16" i="24"/>
  <c r="BP9" i="24"/>
  <c r="BP10" i="24"/>
  <c r="AC24" i="24"/>
  <c r="I32" i="24" s="1"/>
  <c r="X22" i="24"/>
  <c r="I17" i="27" s="1"/>
  <c r="X50" i="24"/>
  <c r="I37" i="27" s="1"/>
  <c r="BJ20" i="24"/>
  <c r="AN20" i="24"/>
  <c r="BE20" i="24" s="1"/>
  <c r="I26" i="27" s="1"/>
  <c r="AC52" i="24"/>
  <c r="I60" i="24" s="1"/>
  <c r="AJ6" i="24"/>
  <c r="Z24" i="24"/>
  <c r="Z52" i="24"/>
  <c r="BP7" i="24"/>
  <c r="BP23" i="24"/>
  <c r="BP15" i="24"/>
  <c r="BJ12" i="24"/>
  <c r="AN12" i="24"/>
  <c r="BE12" i="24" s="1"/>
  <c r="BJ22" i="24"/>
  <c r="AN22" i="24"/>
  <c r="BE22" i="24" s="1"/>
  <c r="I27" i="27" s="1"/>
  <c r="X46" i="24"/>
  <c r="I35" i="27" s="1"/>
  <c r="X18" i="24"/>
  <c r="I15" i="27" s="1"/>
  <c r="G40" i="24"/>
  <c r="X40" i="24" s="1"/>
  <c r="G12" i="24"/>
  <c r="X12" i="24" s="1"/>
  <c r="BJ14" i="24"/>
  <c r="AN14" i="24"/>
  <c r="BE14" i="24" s="1"/>
  <c r="I23" i="27" s="1"/>
  <c r="AN18" i="24"/>
  <c r="BE18" i="24" s="1"/>
  <c r="I25" i="27" s="1"/>
  <c r="BJ18" i="24"/>
  <c r="X44" i="24"/>
  <c r="I34" i="27" s="1"/>
  <c r="X16" i="24"/>
  <c r="I14" i="27" s="1"/>
  <c r="BJ16" i="24"/>
  <c r="AN16" i="24"/>
  <c r="BE16" i="24" s="1"/>
  <c r="I55" i="24"/>
  <c r="AP27" i="24"/>
  <c r="X42" i="24"/>
  <c r="I33" i="27" s="1"/>
  <c r="X14" i="24"/>
  <c r="I13" i="27" s="1"/>
  <c r="X48" i="24"/>
  <c r="I36" i="27" s="1"/>
  <c r="X20" i="24"/>
  <c r="I16" i="27" s="1"/>
  <c r="I25" i="24"/>
  <c r="L6" i="24"/>
  <c r="BJ28" i="24" s="1"/>
  <c r="AU32" i="24" s="1"/>
  <c r="L5" i="27"/>
  <c r="W26" i="24" l="1"/>
  <c r="D32" i="24" s="1"/>
  <c r="BP29" i="24"/>
  <c r="BP13" i="24"/>
  <c r="BP21" i="24"/>
  <c r="BD26" i="24"/>
  <c r="AK32" i="24" s="1"/>
  <c r="W54" i="24"/>
  <c r="D63" i="24" s="1"/>
  <c r="I53" i="24"/>
  <c r="AP25" i="24"/>
  <c r="BJ24" i="24"/>
  <c r="AP32" i="24" s="1"/>
  <c r="I22" i="27"/>
  <c r="I32" i="27"/>
  <c r="I38" i="27" s="1"/>
  <c r="I12" i="27"/>
  <c r="I18" i="27" s="1"/>
  <c r="L6" i="27"/>
  <c r="I24" i="27"/>
  <c r="D35" i="24" l="1"/>
  <c r="D60" i="24"/>
  <c r="AK35" i="24"/>
  <c r="AZ32" i="24"/>
  <c r="BE32" i="24" s="1"/>
  <c r="L27" i="27"/>
  <c r="L25" i="27"/>
  <c r="L26" i="27"/>
  <c r="I28" i="27"/>
  <c r="O27" i="27" l="1"/>
  <c r="R27" i="27" s="1"/>
  <c r="V27" i="27" s="1"/>
  <c r="O26" i="27"/>
  <c r="R26" i="27" s="1"/>
  <c r="V26" i="27" s="1"/>
  <c r="O25" i="27"/>
  <c r="R25" i="27" s="1"/>
  <c r="V25" i="27" s="1"/>
  <c r="O17" i="27" l="1"/>
  <c r="R17" i="27" s="1"/>
  <c r="V17" i="27" s="1"/>
  <c r="O37" i="27"/>
  <c r="R37" i="27" s="1"/>
  <c r="V37" i="27" s="1"/>
  <c r="V47" i="27" l="1"/>
  <c r="U28" i="23" l="1"/>
  <c r="U29" i="23"/>
  <c r="U30" i="23"/>
  <c r="CI53" i="24" l="1"/>
  <c r="CT62" i="24" s="1"/>
  <c r="CV53" i="24"/>
  <c r="DB62" i="24" s="1"/>
  <c r="CV52" i="24"/>
  <c r="DB61" i="24" s="1"/>
  <c r="CI52" i="24"/>
  <c r="CT61" i="24" s="1"/>
  <c r="CV51" i="24"/>
  <c r="CI51" i="24"/>
  <c r="CT60" i="24" s="1"/>
  <c r="BT25" i="24"/>
  <c r="L24" i="27" s="1"/>
  <c r="O24" i="27" s="1"/>
  <c r="R24" i="27" s="1"/>
  <c r="V24" i="27" s="1"/>
  <c r="DB60" i="24" l="1"/>
  <c r="DD2" i="24"/>
  <c r="AB4" i="24" s="1"/>
  <c r="BT11" i="24" l="1"/>
  <c r="BT19" i="24"/>
  <c r="BT24" i="24"/>
  <c r="L23" i="27" s="1"/>
  <c r="BT18" i="24"/>
  <c r="BT10" i="24"/>
  <c r="AA4" i="27"/>
  <c r="AA6" i="27" s="1"/>
  <c r="L35" i="26"/>
  <c r="BT7" i="24"/>
  <c r="AB6" i="24"/>
  <c r="BT23" i="24"/>
  <c r="BT16" i="24"/>
  <c r="BT15" i="24"/>
  <c r="BT8" i="24"/>
  <c r="BT17" i="24"/>
  <c r="BT9" i="24"/>
  <c r="AU35" i="24"/>
  <c r="CB25" i="24"/>
  <c r="AP35" i="24"/>
  <c r="O23" i="27" l="1"/>
  <c r="R23" i="27" s="1"/>
  <c r="V23" i="27" s="1"/>
  <c r="BX19" i="24"/>
  <c r="L36" i="27" s="1"/>
  <c r="BX11" i="24"/>
  <c r="L16" i="27" s="1"/>
  <c r="BX10" i="24"/>
  <c r="L15" i="27" s="1"/>
  <c r="BX18" i="24"/>
  <c r="L35" i="27" s="1"/>
  <c r="AZ35" i="24"/>
  <c r="BR48" i="24" s="1"/>
  <c r="BX17" i="24"/>
  <c r="L34" i="27" s="1"/>
  <c r="L32" i="27"/>
  <c r="BT21" i="24"/>
  <c r="BX16" i="24"/>
  <c r="BX9" i="24"/>
  <c r="L14" i="27" s="1"/>
  <c r="BX8" i="24"/>
  <c r="L22" i="27"/>
  <c r="BT29" i="24"/>
  <c r="CB9" i="24"/>
  <c r="CB17" i="24"/>
  <c r="AC28" i="24"/>
  <c r="AC56" i="24"/>
  <c r="L12" i="27"/>
  <c r="BT13" i="24"/>
  <c r="O35" i="27" l="1"/>
  <c r="R35" i="27" s="1"/>
  <c r="V35" i="27" s="1"/>
  <c r="O16" i="27"/>
  <c r="R16" i="27" s="1"/>
  <c r="V16" i="27" s="1"/>
  <c r="O36" i="27"/>
  <c r="R36" i="27" s="1"/>
  <c r="V36" i="27" s="1"/>
  <c r="O15" i="27"/>
  <c r="R15" i="27" s="1"/>
  <c r="V15" i="27" s="1"/>
  <c r="O14" i="27"/>
  <c r="R14" i="27" s="1"/>
  <c r="V14" i="27" s="1"/>
  <c r="BX21" i="24"/>
  <c r="I63" i="24" s="1"/>
  <c r="BE35" i="24"/>
  <c r="O34" i="27"/>
  <c r="R34" i="27" s="1"/>
  <c r="V34" i="27" s="1"/>
  <c r="N32" i="24"/>
  <c r="S32" i="24" s="1"/>
  <c r="X32" i="24" s="1"/>
  <c r="CB7" i="24"/>
  <c r="N35" i="24" s="1"/>
  <c r="L33" i="27"/>
  <c r="O33" i="27" s="1"/>
  <c r="R33" i="27" s="1"/>
  <c r="V33" i="27" s="1"/>
  <c r="O12" i="27"/>
  <c r="L28" i="27"/>
  <c r="O22" i="27"/>
  <c r="O32" i="27"/>
  <c r="N60" i="24"/>
  <c r="S60" i="24" s="1"/>
  <c r="X60" i="24" s="1"/>
  <c r="CB15" i="24"/>
  <c r="N63" i="24" s="1"/>
  <c r="BX13" i="24"/>
  <c r="I35" i="24" s="1"/>
  <c r="L13" i="27"/>
  <c r="O13" i="27" s="1"/>
  <c r="R13" i="27" s="1"/>
  <c r="V13" i="27" s="1"/>
  <c r="CZ36" i="24" l="1"/>
  <c r="I38" i="26" s="1"/>
  <c r="V45" i="27"/>
  <c r="V46" i="27"/>
  <c r="V44" i="27"/>
  <c r="V28" i="27"/>
  <c r="V43" i="27"/>
  <c r="S35" i="24"/>
  <c r="BR47" i="24" s="1"/>
  <c r="O38" i="27"/>
  <c r="R32" i="27"/>
  <c r="L18" i="27"/>
  <c r="O18" i="27"/>
  <c r="R12" i="27"/>
  <c r="O28" i="27"/>
  <c r="R22" i="27"/>
  <c r="L38" i="27"/>
  <c r="S63" i="24"/>
  <c r="X63" i="24" s="1"/>
  <c r="CZ35" i="24" s="1"/>
  <c r="I37" i="26" s="1"/>
  <c r="X35" i="24" l="1"/>
  <c r="V12" i="27"/>
  <c r="R18" i="27"/>
  <c r="V22" i="27"/>
  <c r="R28" i="27"/>
  <c r="R38" i="27"/>
  <c r="V32" i="27"/>
  <c r="V38" i="27"/>
  <c r="BR49" i="24"/>
  <c r="BR50" i="24" s="1"/>
  <c r="CZ34" i="24" l="1"/>
  <c r="I36" i="26" s="1"/>
  <c r="AQ41" i="24"/>
  <c r="BF41" i="24" s="1"/>
  <c r="DK34" i="24" s="1"/>
  <c r="T36" i="26" s="1"/>
  <c r="V18" i="27"/>
  <c r="V48" i="27" s="1"/>
  <c r="V42" i="27"/>
  <c r="BF57" i="24"/>
  <c r="BD54" i="24"/>
  <c r="AL54" i="24"/>
  <c r="AX54" i="24"/>
  <c r="AJ54" i="24"/>
  <c r="AN54" i="24"/>
  <c r="AT57" i="24"/>
  <c r="AV54" i="24"/>
  <c r="AP57" i="24"/>
  <c r="AJ59" i="24" s="1"/>
  <c r="BF54" i="24"/>
  <c r="AZ54" i="24"/>
  <c r="BD57" i="24"/>
  <c r="AX57" i="24"/>
  <c r="BB57" i="24"/>
  <c r="AZ57" i="24"/>
  <c r="AV57" i="24"/>
  <c r="BB54" i="24"/>
  <c r="AR57" i="24"/>
  <c r="AT54" i="24"/>
  <c r="AP54" i="24"/>
  <c r="AR54" i="24"/>
  <c r="CZ37" i="24" l="1"/>
  <c r="I39" i="26" s="1"/>
  <c r="AN57" i="24"/>
  <c r="BH57" i="24" s="1"/>
  <c r="BH54"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長岡京市役所</author>
  </authors>
  <commentList>
    <comment ref="V11" authorId="0" shapeId="0" xr:uid="{00000000-0006-0000-0300-000001000000}">
      <text>
        <r>
          <rPr>
            <b/>
            <sz val="9"/>
            <color indexed="81"/>
            <rFont val="ＭＳ Ｐゴシック"/>
            <family val="3"/>
            <charset val="128"/>
          </rPr>
          <t>数式上は100円未満を切り捨てているため、合計より少ない可能性があり、端数調整が必要
以下、同じ</t>
        </r>
      </text>
    </comment>
  </commentList>
</comments>
</file>

<file path=xl/sharedStrings.xml><?xml version="1.0" encoding="utf-8"?>
<sst xmlns="http://schemas.openxmlformats.org/spreadsheetml/2006/main" count="646" uniqueCount="262">
  <si>
    <t>/100</t>
    <phoneticPr fontId="2"/>
  </si>
  <si>
    <t>7割均等</t>
    <rPh sb="1" eb="2">
      <t>ワリ</t>
    </rPh>
    <rPh sb="2" eb="4">
      <t>キントウ</t>
    </rPh>
    <phoneticPr fontId="2"/>
  </si>
  <si>
    <t>7割平等</t>
    <rPh sb="1" eb="2">
      <t>ワリ</t>
    </rPh>
    <rPh sb="2" eb="4">
      <t>ビョウドウ</t>
    </rPh>
    <phoneticPr fontId="2"/>
  </si>
  <si>
    <t>医療</t>
    <rPh sb="0" eb="2">
      <t>イリョウ</t>
    </rPh>
    <phoneticPr fontId="2"/>
  </si>
  <si>
    <t>介護</t>
    <rPh sb="0" eb="2">
      <t>カイゴ</t>
    </rPh>
    <phoneticPr fontId="2"/>
  </si>
  <si>
    <t>5割均等</t>
    <rPh sb="1" eb="2">
      <t>ワリ</t>
    </rPh>
    <rPh sb="2" eb="4">
      <t>キントウ</t>
    </rPh>
    <phoneticPr fontId="2"/>
  </si>
  <si>
    <t>5割平等</t>
    <rPh sb="1" eb="2">
      <t>ワリ</t>
    </rPh>
    <rPh sb="2" eb="4">
      <t>ビョウドウ</t>
    </rPh>
    <phoneticPr fontId="2"/>
  </si>
  <si>
    <t>2割均等</t>
    <rPh sb="1" eb="2">
      <t>ワリ</t>
    </rPh>
    <rPh sb="2" eb="4">
      <t>キントウ</t>
    </rPh>
    <phoneticPr fontId="2"/>
  </si>
  <si>
    <t>2割平等</t>
    <rPh sb="1" eb="2">
      <t>ワリ</t>
    </rPh>
    <rPh sb="2" eb="4">
      <t>ビョウドウ</t>
    </rPh>
    <phoneticPr fontId="2"/>
  </si>
  <si>
    <t>７割</t>
    <rPh sb="1" eb="2">
      <t>ワリ</t>
    </rPh>
    <phoneticPr fontId="2"/>
  </si>
  <si>
    <t>５割</t>
    <rPh sb="1" eb="2">
      <t>ワリ</t>
    </rPh>
    <phoneticPr fontId="2"/>
  </si>
  <si>
    <t>２割</t>
    <rPh sb="1" eb="2">
      <t>ワリ</t>
    </rPh>
    <phoneticPr fontId="2"/>
  </si>
  <si>
    <t>医療分</t>
    <rPh sb="0" eb="2">
      <t>イリョウ</t>
    </rPh>
    <rPh sb="2" eb="3">
      <t>ブン</t>
    </rPh>
    <phoneticPr fontId="2"/>
  </si>
  <si>
    <t>介護分</t>
    <rPh sb="0" eb="2">
      <t>カイゴ</t>
    </rPh>
    <rPh sb="2" eb="3">
      <t>ブン</t>
    </rPh>
    <phoneticPr fontId="2"/>
  </si>
  <si>
    <t>加入者数</t>
    <rPh sb="0" eb="4">
      <t>カニュウシャスウ</t>
    </rPh>
    <phoneticPr fontId="2"/>
  </si>
  <si>
    <t>均等割</t>
    <rPh sb="0" eb="3">
      <t>キントウワリ</t>
    </rPh>
    <phoneticPr fontId="2"/>
  </si>
  <si>
    <t>平等割</t>
    <rPh sb="0" eb="2">
      <t>ビョウドウ</t>
    </rPh>
    <rPh sb="2" eb="3">
      <t>ワリ</t>
    </rPh>
    <phoneticPr fontId="2"/>
  </si>
  <si>
    <t>賦課基準所得</t>
    <rPh sb="0" eb="2">
      <t>フカ</t>
    </rPh>
    <rPh sb="2" eb="4">
      <t>キジュン</t>
    </rPh>
    <rPh sb="4" eb="6">
      <t>ショトク</t>
    </rPh>
    <phoneticPr fontId="2"/>
  </si>
  <si>
    <t>年金（65以上）</t>
    <rPh sb="0" eb="2">
      <t>ネンキン</t>
    </rPh>
    <rPh sb="5" eb="7">
      <t>イジョウ</t>
    </rPh>
    <phoneticPr fontId="2"/>
  </si>
  <si>
    <t>所得割</t>
    <rPh sb="0" eb="2">
      <t>ショトク</t>
    </rPh>
    <rPh sb="2" eb="3">
      <t>ワリ</t>
    </rPh>
    <phoneticPr fontId="2"/>
  </si>
  <si>
    <t>所得割合計</t>
    <rPh sb="0" eb="2">
      <t>ショトク</t>
    </rPh>
    <rPh sb="2" eb="3">
      <t>ワリ</t>
    </rPh>
    <rPh sb="3" eb="5">
      <t>ゴウケイ</t>
    </rPh>
    <phoneticPr fontId="2"/>
  </si>
  <si>
    <t>計</t>
    <rPh sb="0" eb="1">
      <t>ケイ</t>
    </rPh>
    <phoneticPr fontId="2"/>
  </si>
  <si>
    <t>65歳以上軽減判定年金所得</t>
    <rPh sb="2" eb="3">
      <t>サイ</t>
    </rPh>
    <rPh sb="3" eb="5">
      <t>イジョウ</t>
    </rPh>
    <rPh sb="5" eb="7">
      <t>ケイゲン</t>
    </rPh>
    <rPh sb="7" eb="9">
      <t>ハンテイ</t>
    </rPh>
    <rPh sb="9" eb="11">
      <t>ネンキン</t>
    </rPh>
    <rPh sb="11" eb="13">
      <t>ショトク</t>
    </rPh>
    <phoneticPr fontId="2"/>
  </si>
  <si>
    <t>国保控除</t>
    <rPh sb="0" eb="2">
      <t>コクホ</t>
    </rPh>
    <rPh sb="2" eb="4">
      <t>コウジョ</t>
    </rPh>
    <phoneticPr fontId="2"/>
  </si>
  <si>
    <t>限度額</t>
    <rPh sb="0" eb="3">
      <t>ゲンドガク</t>
    </rPh>
    <phoneticPr fontId="2"/>
  </si>
  <si>
    <t>介護分</t>
    <rPh sb="0" eb="3">
      <t>カイゴブン</t>
    </rPh>
    <phoneticPr fontId="2"/>
  </si>
  <si>
    <t>合計</t>
    <rPh sb="0" eb="2">
      <t>ゴウケイ</t>
    </rPh>
    <phoneticPr fontId="2"/>
  </si>
  <si>
    <t>保険料のかかる月</t>
    <rPh sb="0" eb="3">
      <t>ホケンリョウ</t>
    </rPh>
    <rPh sb="7" eb="8">
      <t>ツキ</t>
    </rPh>
    <phoneticPr fontId="2"/>
  </si>
  <si>
    <t>月から⇒</t>
    <rPh sb="0" eb="1">
      <t>ガツ</t>
    </rPh>
    <phoneticPr fontId="2"/>
  </si>
  <si>
    <t>回払い</t>
    <rPh sb="0" eb="1">
      <t>カイ</t>
    </rPh>
    <rPh sb="1" eb="2">
      <t>ハラ</t>
    </rPh>
    <phoneticPr fontId="2"/>
  </si>
  <si>
    <t>月割医療</t>
    <rPh sb="0" eb="2">
      <t>ツキワ</t>
    </rPh>
    <rPh sb="2" eb="4">
      <t>イリョウ</t>
    </rPh>
    <phoneticPr fontId="2"/>
  </si>
  <si>
    <t>月割介護</t>
    <rPh sb="0" eb="2">
      <t>ツキワ</t>
    </rPh>
    <rPh sb="2" eb="4">
      <t>カイゴ</t>
    </rPh>
    <phoneticPr fontId="2"/>
  </si>
  <si>
    <t>かかる月</t>
    <rPh sb="3" eb="4">
      <t>ツキ</t>
    </rPh>
    <phoneticPr fontId="2"/>
  </si>
  <si>
    <t>第1期</t>
    <rPh sb="0" eb="1">
      <t>ダイ</t>
    </rPh>
    <rPh sb="2" eb="3">
      <t>キ</t>
    </rPh>
    <phoneticPr fontId="2"/>
  </si>
  <si>
    <t>第2期</t>
    <rPh sb="0" eb="1">
      <t>ダイ</t>
    </rPh>
    <rPh sb="2" eb="3">
      <t>キ</t>
    </rPh>
    <phoneticPr fontId="2"/>
  </si>
  <si>
    <t>第3期</t>
    <rPh sb="0" eb="1">
      <t>ダイ</t>
    </rPh>
    <rPh sb="2" eb="3">
      <t>キ</t>
    </rPh>
    <phoneticPr fontId="2"/>
  </si>
  <si>
    <t>第4期</t>
    <rPh sb="0" eb="1">
      <t>ダイ</t>
    </rPh>
    <rPh sb="2" eb="3">
      <t>キ</t>
    </rPh>
    <phoneticPr fontId="2"/>
  </si>
  <si>
    <t>第5期</t>
    <rPh sb="0" eb="1">
      <t>ダイ</t>
    </rPh>
    <rPh sb="2" eb="3">
      <t>キ</t>
    </rPh>
    <phoneticPr fontId="2"/>
  </si>
  <si>
    <t>第6期</t>
    <rPh sb="0" eb="1">
      <t>ダイ</t>
    </rPh>
    <rPh sb="2" eb="3">
      <t>キ</t>
    </rPh>
    <phoneticPr fontId="2"/>
  </si>
  <si>
    <t>第7期</t>
    <rPh sb="0" eb="1">
      <t>ダイ</t>
    </rPh>
    <rPh sb="2" eb="3">
      <t>キ</t>
    </rPh>
    <phoneticPr fontId="2"/>
  </si>
  <si>
    <t>第8期</t>
    <rPh sb="0" eb="1">
      <t>ダイ</t>
    </rPh>
    <rPh sb="2" eb="3">
      <t>キ</t>
    </rPh>
    <phoneticPr fontId="2"/>
  </si>
  <si>
    <t>第9期</t>
    <rPh sb="0" eb="1">
      <t>ダイ</t>
    </rPh>
    <rPh sb="2" eb="3">
      <t>キ</t>
    </rPh>
    <phoneticPr fontId="2"/>
  </si>
  <si>
    <t>第10期</t>
    <rPh sb="0" eb="1">
      <t>ダイ</t>
    </rPh>
    <rPh sb="3" eb="4">
      <t>キ</t>
    </rPh>
    <phoneticPr fontId="2"/>
  </si>
  <si>
    <t>6/末</t>
    <rPh sb="2" eb="3">
      <t>マツ</t>
    </rPh>
    <phoneticPr fontId="2"/>
  </si>
  <si>
    <t>7/末</t>
    <rPh sb="2" eb="3">
      <t>マツ</t>
    </rPh>
    <phoneticPr fontId="2"/>
  </si>
  <si>
    <t>8/末</t>
    <rPh sb="2" eb="3">
      <t>マツ</t>
    </rPh>
    <phoneticPr fontId="2"/>
  </si>
  <si>
    <t>9/末</t>
    <rPh sb="2" eb="3">
      <t>マツ</t>
    </rPh>
    <phoneticPr fontId="2"/>
  </si>
  <si>
    <t>10/末</t>
    <rPh sb="3" eb="4">
      <t>マツ</t>
    </rPh>
    <phoneticPr fontId="2"/>
  </si>
  <si>
    <t>11/末</t>
    <rPh sb="3" eb="4">
      <t>マツ</t>
    </rPh>
    <phoneticPr fontId="2"/>
  </si>
  <si>
    <t>12/末</t>
    <rPh sb="3" eb="4">
      <t>マツ</t>
    </rPh>
    <phoneticPr fontId="2"/>
  </si>
  <si>
    <t>1/末</t>
    <rPh sb="2" eb="3">
      <t>マツ</t>
    </rPh>
    <phoneticPr fontId="2"/>
  </si>
  <si>
    <t>2/末</t>
    <rPh sb="2" eb="3">
      <t>マツ</t>
    </rPh>
    <phoneticPr fontId="2"/>
  </si>
  <si>
    <t>3/末</t>
    <rPh sb="2" eb="3">
      <t>マツ</t>
    </rPh>
    <phoneticPr fontId="2"/>
  </si>
  <si>
    <t>年間保険料</t>
    <rPh sb="0" eb="2">
      <t>ネンカン</t>
    </rPh>
    <rPh sb="2" eb="5">
      <t>ホケンリョウ</t>
    </rPh>
    <phoneticPr fontId="2"/>
  </si>
  <si>
    <t>ヶ月分</t>
    <rPh sb="1" eb="3">
      <t>ゲツブン</t>
    </rPh>
    <phoneticPr fontId="2"/>
  </si>
  <si>
    <t>期から⇒</t>
    <rPh sb="0" eb="1">
      <t>キ</t>
    </rPh>
    <phoneticPr fontId="2"/>
  </si>
  <si>
    <t>納付のある月</t>
    <rPh sb="0" eb="2">
      <t>ノウフ</t>
    </rPh>
    <rPh sb="5" eb="6">
      <t>ツキ</t>
    </rPh>
    <phoneticPr fontId="2"/>
  </si>
  <si>
    <t>月割り保険料</t>
    <rPh sb="0" eb="2">
      <t>ツキワ</t>
    </rPh>
    <rPh sb="3" eb="6">
      <t>ホケンリョウ</t>
    </rPh>
    <phoneticPr fontId="2"/>
  </si>
  <si>
    <t>◎各月の保険料は以下のとおりです。</t>
    <rPh sb="1" eb="3">
      <t>カクツキ</t>
    </rPh>
    <rPh sb="4" eb="7">
      <t>ホケンリョウ</t>
    </rPh>
    <rPh sb="8" eb="10">
      <t>イカ</t>
    </rPh>
    <phoneticPr fontId="2"/>
  </si>
  <si>
    <t>実際の納付は</t>
    <rPh sb="0" eb="2">
      <t>ジッサイ</t>
    </rPh>
    <rPh sb="3" eb="5">
      <t>ノウフ</t>
    </rPh>
    <phoneticPr fontId="2"/>
  </si>
  <si>
    <t>こちら→</t>
    <phoneticPr fontId="2"/>
  </si>
  <si>
    <t>納期限</t>
    <rPh sb="0" eb="3">
      <t>ノウキゲン</t>
    </rPh>
    <phoneticPr fontId="2"/>
  </si>
  <si>
    <t>後期高齢者支援分</t>
    <rPh sb="0" eb="2">
      <t>コウキ</t>
    </rPh>
    <rPh sb="2" eb="5">
      <t>コウレイシャ</t>
    </rPh>
    <rPh sb="5" eb="7">
      <t>シエン</t>
    </rPh>
    <rPh sb="7" eb="8">
      <t>ブン</t>
    </rPh>
    <phoneticPr fontId="2"/>
  </si>
  <si>
    <t>国民健康保険料率</t>
    <rPh sb="0" eb="2">
      <t>コクミン</t>
    </rPh>
    <rPh sb="2" eb="4">
      <t>ケンコウ</t>
    </rPh>
    <rPh sb="4" eb="6">
      <t>ホケン</t>
    </rPh>
    <rPh sb="6" eb="7">
      <t>リョウ</t>
    </rPh>
    <rPh sb="7" eb="8">
      <t>リツ</t>
    </rPh>
    <phoneticPr fontId="2"/>
  </si>
  <si>
    <t>半額軽減世帯料率</t>
    <rPh sb="0" eb="2">
      <t>ハンガク</t>
    </rPh>
    <rPh sb="2" eb="4">
      <t>ケイゲン</t>
    </rPh>
    <rPh sb="4" eb="6">
      <t>セタイ</t>
    </rPh>
    <rPh sb="6" eb="8">
      <t>リョウリツ</t>
    </rPh>
    <phoneticPr fontId="2"/>
  </si>
  <si>
    <t>被保険者数</t>
    <rPh sb="0" eb="4">
      <t>ヒホケンシャ</t>
    </rPh>
    <rPh sb="4" eb="5">
      <t>スウ</t>
    </rPh>
    <phoneticPr fontId="2"/>
  </si>
  <si>
    <t>総所得</t>
    <rPh sb="0" eb="3">
      <t>ソウショトク</t>
    </rPh>
    <phoneticPr fontId="2"/>
  </si>
  <si>
    <t>世帯員②</t>
    <rPh sb="0" eb="3">
      <t>セタイイン</t>
    </rPh>
    <phoneticPr fontId="2"/>
  </si>
  <si>
    <t>円</t>
    <rPh sb="0" eb="1">
      <t>エン</t>
    </rPh>
    <phoneticPr fontId="2"/>
  </si>
  <si>
    <t>－</t>
    <phoneticPr fontId="2"/>
  </si>
  <si>
    <t>（</t>
    <phoneticPr fontId="2"/>
  </si>
  <si>
    <t>／</t>
    <phoneticPr fontId="2"/>
  </si>
  <si>
    <t>＝</t>
    <phoneticPr fontId="2"/>
  </si>
  <si>
    <r>
      <t>◎</t>
    </r>
    <r>
      <rPr>
        <b/>
        <sz val="10"/>
        <rFont val="ＭＳ Ｐゴシック"/>
        <family val="3"/>
        <charset val="128"/>
      </rPr>
      <t>所得割</t>
    </r>
    <rPh sb="1" eb="3">
      <t>ショトク</t>
    </rPh>
    <rPh sb="3" eb="4">
      <t>ワリ</t>
    </rPh>
    <phoneticPr fontId="2"/>
  </si>
  <si>
    <t>）×</t>
    <phoneticPr fontId="2"/>
  </si>
  <si>
    <r>
      <t>◎</t>
    </r>
    <r>
      <rPr>
        <b/>
        <sz val="10"/>
        <rFont val="ＭＳ Ｐゴシック"/>
        <family val="3"/>
        <charset val="128"/>
      </rPr>
      <t>均等割</t>
    </r>
    <rPh sb="1" eb="4">
      <t>キントウワリ</t>
    </rPh>
    <phoneticPr fontId="2"/>
  </si>
  <si>
    <t>世帯員③</t>
    <rPh sb="0" eb="3">
      <t>セタイイン</t>
    </rPh>
    <phoneticPr fontId="2"/>
  </si>
  <si>
    <t>世帯員④</t>
    <rPh sb="0" eb="3">
      <t>セタイイン</t>
    </rPh>
    <phoneticPr fontId="2"/>
  </si>
  <si>
    <t>世帯員⑤</t>
    <rPh sb="0" eb="3">
      <t>セタイイン</t>
    </rPh>
    <phoneticPr fontId="2"/>
  </si>
  <si>
    <t>世帯主</t>
    <rPh sb="0" eb="3">
      <t>セタイヌシ</t>
    </rPh>
    <phoneticPr fontId="2"/>
  </si>
  <si>
    <t>擬制世帯主</t>
    <rPh sb="0" eb="2">
      <t>ギセイ</t>
    </rPh>
    <rPh sb="2" eb="5">
      <t>セタイヌシ</t>
    </rPh>
    <phoneticPr fontId="2"/>
  </si>
  <si>
    <t>軽減基準所得</t>
    <rPh sb="0" eb="2">
      <t>ケイゲン</t>
    </rPh>
    <rPh sb="2" eb="4">
      <t>キジュン</t>
    </rPh>
    <rPh sb="4" eb="6">
      <t>ショトク</t>
    </rPh>
    <phoneticPr fontId="2"/>
  </si>
  <si>
    <t>①</t>
    <phoneticPr fontId="2"/>
  </si>
  <si>
    <t>②</t>
    <phoneticPr fontId="2"/>
  </si>
  <si>
    <t>③</t>
    <phoneticPr fontId="2"/>
  </si>
  <si>
    <t>④</t>
    <phoneticPr fontId="2"/>
  </si>
  <si>
    <t>⑤</t>
    <phoneticPr fontId="2"/>
  </si>
  <si>
    <t>⑥</t>
    <phoneticPr fontId="2"/>
  </si>
  <si>
    <t>世帯員⑥</t>
    <rPh sb="0" eb="3">
      <t>セタイイン</t>
    </rPh>
    <phoneticPr fontId="2"/>
  </si>
  <si>
    <t>均等割合計</t>
    <rPh sb="0" eb="3">
      <t>キントウワリ</t>
    </rPh>
    <rPh sb="3" eb="5">
      <t>ゴウケイ</t>
    </rPh>
    <phoneticPr fontId="2"/>
  </si>
  <si>
    <t>＋</t>
    <phoneticPr fontId="2"/>
  </si>
  <si>
    <t>平等割合計</t>
    <rPh sb="0" eb="2">
      <t>ビョウドウ</t>
    </rPh>
    <rPh sb="2" eb="3">
      <t>ワリ</t>
    </rPh>
    <rPh sb="3" eb="5">
      <t>ゴウケイ</t>
    </rPh>
    <phoneticPr fontId="2"/>
  </si>
  <si>
    <t>＝</t>
    <phoneticPr fontId="2"/>
  </si>
  <si>
    <t>≒</t>
    <phoneticPr fontId="2"/>
  </si>
  <si>
    <t>保険料医療分</t>
    <rPh sb="0" eb="2">
      <t>ホケン</t>
    </rPh>
    <rPh sb="2" eb="3">
      <t>リョウ</t>
    </rPh>
    <rPh sb="3" eb="5">
      <t>イリョウ</t>
    </rPh>
    <rPh sb="5" eb="6">
      <t>ブン</t>
    </rPh>
    <phoneticPr fontId="2"/>
  </si>
  <si>
    <r>
      <t>◎</t>
    </r>
    <r>
      <rPr>
        <b/>
        <sz val="10"/>
        <rFont val="ＭＳ Ｐゴシック"/>
        <family val="3"/>
        <charset val="128"/>
      </rPr>
      <t>医療分試算</t>
    </r>
    <rPh sb="1" eb="3">
      <t>イリョウ</t>
    </rPh>
    <rPh sb="3" eb="4">
      <t>ブン</t>
    </rPh>
    <rPh sb="4" eb="6">
      <t>シサン</t>
    </rPh>
    <phoneticPr fontId="2"/>
  </si>
  <si>
    <r>
      <t>◎</t>
    </r>
    <r>
      <rPr>
        <b/>
        <sz val="10"/>
        <rFont val="ＭＳ Ｐゴシック"/>
        <family val="3"/>
        <charset val="128"/>
      </rPr>
      <t>平等割</t>
    </r>
    <rPh sb="1" eb="3">
      <t>ビョウドウ</t>
    </rPh>
    <rPh sb="3" eb="4">
      <t>ワリ</t>
    </rPh>
    <phoneticPr fontId="2"/>
  </si>
  <si>
    <r>
      <t>◎</t>
    </r>
    <r>
      <rPr>
        <b/>
        <sz val="11"/>
        <rFont val="ＭＳ Ｐゴシック"/>
        <family val="3"/>
        <charset val="128"/>
      </rPr>
      <t>保険料率</t>
    </r>
    <phoneticPr fontId="2"/>
  </si>
  <si>
    <t>所得割計</t>
    <rPh sb="0" eb="2">
      <t>ショトク</t>
    </rPh>
    <rPh sb="2" eb="3">
      <t>ワリ</t>
    </rPh>
    <rPh sb="3" eb="4">
      <t>ケイ</t>
    </rPh>
    <phoneticPr fontId="2"/>
  </si>
  <si>
    <t>①</t>
    <phoneticPr fontId="2"/>
  </si>
  <si>
    <t>②</t>
    <phoneticPr fontId="2"/>
  </si>
  <si>
    <t>③</t>
    <phoneticPr fontId="2"/>
  </si>
  <si>
    <t>④</t>
    <phoneticPr fontId="2"/>
  </si>
  <si>
    <t>⑤</t>
    <phoneticPr fontId="2"/>
  </si>
  <si>
    <t>⑥</t>
    <phoneticPr fontId="2"/>
  </si>
  <si>
    <r>
      <t>◎</t>
    </r>
    <r>
      <rPr>
        <b/>
        <sz val="11"/>
        <rFont val="ＭＳ Ｐゴシック"/>
        <family val="3"/>
        <charset val="128"/>
      </rPr>
      <t>軽減額</t>
    </r>
    <rPh sb="1" eb="3">
      <t>ケイゲン</t>
    </rPh>
    <rPh sb="3" eb="4">
      <t>ガク</t>
    </rPh>
    <phoneticPr fontId="2"/>
  </si>
  <si>
    <r>
      <t>◎</t>
    </r>
    <r>
      <rPr>
        <b/>
        <sz val="11"/>
        <rFont val="ＭＳ Ｐゴシック"/>
        <family val="3"/>
        <charset val="128"/>
      </rPr>
      <t>軽減基準所得</t>
    </r>
    <rPh sb="1" eb="3">
      <t>ケイゲン</t>
    </rPh>
    <rPh sb="3" eb="5">
      <t>キジュン</t>
    </rPh>
    <rPh sb="5" eb="6">
      <t>ショ</t>
    </rPh>
    <rPh sb="6" eb="7">
      <t>トク</t>
    </rPh>
    <phoneticPr fontId="2"/>
  </si>
  <si>
    <r>
      <t>◎</t>
    </r>
    <r>
      <rPr>
        <b/>
        <sz val="10"/>
        <rFont val="ＭＳ Ｐゴシック"/>
        <family val="3"/>
        <charset val="128"/>
      </rPr>
      <t>軽減後</t>
    </r>
    <rPh sb="1" eb="3">
      <t>ケイゲン</t>
    </rPh>
    <rPh sb="3" eb="4">
      <t>ゴ</t>
    </rPh>
    <phoneticPr fontId="2"/>
  </si>
  <si>
    <r>
      <t>◎</t>
    </r>
    <r>
      <rPr>
        <b/>
        <sz val="10"/>
        <rFont val="ＭＳ Ｐゴシック"/>
        <family val="3"/>
        <charset val="128"/>
      </rPr>
      <t>後期高齢者支援分</t>
    </r>
    <rPh sb="1" eb="3">
      <t>コウキ</t>
    </rPh>
    <rPh sb="3" eb="6">
      <t>コウレイシャ</t>
    </rPh>
    <rPh sb="6" eb="8">
      <t>シエン</t>
    </rPh>
    <rPh sb="8" eb="9">
      <t>ブン</t>
    </rPh>
    <phoneticPr fontId="2"/>
  </si>
  <si>
    <t>保険料後期高齢者支援分</t>
    <rPh sb="0" eb="2">
      <t>ホケン</t>
    </rPh>
    <rPh sb="2" eb="3">
      <t>リョウ</t>
    </rPh>
    <rPh sb="3" eb="5">
      <t>コウキ</t>
    </rPh>
    <rPh sb="5" eb="8">
      <t>コウレイシャ</t>
    </rPh>
    <rPh sb="8" eb="10">
      <t>シエン</t>
    </rPh>
    <rPh sb="10" eb="11">
      <t>ブン</t>
    </rPh>
    <phoneticPr fontId="2"/>
  </si>
  <si>
    <t>保険料介護分</t>
    <rPh sb="0" eb="2">
      <t>ホケン</t>
    </rPh>
    <rPh sb="2" eb="3">
      <t>リョウ</t>
    </rPh>
    <rPh sb="3" eb="5">
      <t>カイゴ</t>
    </rPh>
    <rPh sb="5" eb="6">
      <t>ブン</t>
    </rPh>
    <phoneticPr fontId="2"/>
  </si>
  <si>
    <r>
      <t>◎</t>
    </r>
    <r>
      <rPr>
        <b/>
        <sz val="10"/>
        <rFont val="ＭＳ Ｐゴシック"/>
        <family val="3"/>
        <charset val="128"/>
      </rPr>
      <t>後期高齢者介護</t>
    </r>
    <rPh sb="1" eb="3">
      <t>コウキ</t>
    </rPh>
    <rPh sb="3" eb="6">
      <t>コウレイシャ</t>
    </rPh>
    <rPh sb="6" eb="8">
      <t>カイゴ</t>
    </rPh>
    <phoneticPr fontId="2"/>
  </si>
  <si>
    <t>介護保険２号被保険者</t>
    <rPh sb="0" eb="2">
      <t>カイゴ</t>
    </rPh>
    <rPh sb="2" eb="4">
      <t>ホケン</t>
    </rPh>
    <rPh sb="5" eb="6">
      <t>ゴウ</t>
    </rPh>
    <rPh sb="6" eb="10">
      <t>ヒホケンシャ</t>
    </rPh>
    <phoneticPr fontId="2"/>
  </si>
  <si>
    <t>人</t>
    <rPh sb="0" eb="1">
      <t>ニン</t>
    </rPh>
    <phoneticPr fontId="2"/>
  </si>
  <si>
    <t>介護分＝４０歳以上６５歳未満</t>
    <rPh sb="0" eb="2">
      <t>カイゴ</t>
    </rPh>
    <rPh sb="2" eb="3">
      <t>ブン</t>
    </rPh>
    <rPh sb="6" eb="9">
      <t>サイイジョウ</t>
    </rPh>
    <rPh sb="11" eb="12">
      <t>サイ</t>
    </rPh>
    <rPh sb="12" eb="14">
      <t>ミマン</t>
    </rPh>
    <phoneticPr fontId="2"/>
  </si>
  <si>
    <t>続柄</t>
    <rPh sb="0" eb="1">
      <t>ツヅ</t>
    </rPh>
    <rPh sb="1" eb="2">
      <t>ガラ</t>
    </rPh>
    <phoneticPr fontId="2"/>
  </si>
  <si>
    <t>被保険者</t>
    <rPh sb="0" eb="4">
      <t>ヒホケンシャ</t>
    </rPh>
    <phoneticPr fontId="2"/>
  </si>
  <si>
    <t>非加入者</t>
    <rPh sb="0" eb="1">
      <t>ヒ</t>
    </rPh>
    <rPh sb="1" eb="3">
      <t>カニュウ</t>
    </rPh>
    <rPh sb="3" eb="4">
      <t>シャ</t>
    </rPh>
    <phoneticPr fontId="2"/>
  </si>
  <si>
    <t>世帯主</t>
    <rPh sb="0" eb="2">
      <t>セタイ</t>
    </rPh>
    <rPh sb="2" eb="3">
      <t>シュ</t>
    </rPh>
    <phoneticPr fontId="2"/>
  </si>
  <si>
    <t>年齢</t>
    <rPh sb="0" eb="2">
      <t>ネンレイ</t>
    </rPh>
    <phoneticPr fontId="2"/>
  </si>
  <si>
    <t>４０歳未満</t>
    <rPh sb="2" eb="3">
      <t>サイ</t>
    </rPh>
    <rPh sb="3" eb="5">
      <t>ミマン</t>
    </rPh>
    <phoneticPr fontId="2"/>
  </si>
  <si>
    <t>４０～６４歳</t>
    <rPh sb="5" eb="6">
      <t>サイ</t>
    </rPh>
    <phoneticPr fontId="2"/>
  </si>
  <si>
    <t>６５歳以上</t>
    <rPh sb="2" eb="3">
      <t>サイ</t>
    </rPh>
    <rPh sb="3" eb="5">
      <t>イジョウ</t>
    </rPh>
    <phoneticPr fontId="2"/>
  </si>
  <si>
    <t>世帯員②</t>
    <rPh sb="0" eb="2">
      <t>セタイ</t>
    </rPh>
    <rPh sb="2" eb="3">
      <t>イン</t>
    </rPh>
    <phoneticPr fontId="2"/>
  </si>
  <si>
    <t>世帯員③</t>
    <rPh sb="0" eb="2">
      <t>セタイ</t>
    </rPh>
    <rPh sb="2" eb="3">
      <t>イン</t>
    </rPh>
    <phoneticPr fontId="2"/>
  </si>
  <si>
    <t>世帯員④</t>
    <rPh sb="0" eb="2">
      <t>セタイ</t>
    </rPh>
    <rPh sb="2" eb="3">
      <t>イン</t>
    </rPh>
    <phoneticPr fontId="2"/>
  </si>
  <si>
    <t>世帯員⑤</t>
    <rPh sb="0" eb="2">
      <t>セタイ</t>
    </rPh>
    <rPh sb="2" eb="3">
      <t>イン</t>
    </rPh>
    <phoneticPr fontId="2"/>
  </si>
  <si>
    <t>介護保険２号被保険者数</t>
    <rPh sb="0" eb="2">
      <t>カイゴ</t>
    </rPh>
    <rPh sb="2" eb="4">
      <t>ホケン</t>
    </rPh>
    <rPh sb="5" eb="6">
      <t>ゴウ</t>
    </rPh>
    <rPh sb="6" eb="10">
      <t>ヒホケンシャ</t>
    </rPh>
    <rPh sb="10" eb="11">
      <t>スウ</t>
    </rPh>
    <phoneticPr fontId="2"/>
  </si>
  <si>
    <t>世帯員⑥</t>
    <rPh sb="0" eb="2">
      <t>セタイ</t>
    </rPh>
    <rPh sb="2" eb="3">
      <t>イン</t>
    </rPh>
    <phoneticPr fontId="2"/>
  </si>
  <si>
    <t>資格</t>
    <rPh sb="0" eb="2">
      <t>シカク</t>
    </rPh>
    <phoneticPr fontId="2"/>
  </si>
  <si>
    <t>医</t>
    <rPh sb="0" eb="1">
      <t>イ</t>
    </rPh>
    <phoneticPr fontId="2"/>
  </si>
  <si>
    <t>介</t>
    <rPh sb="0" eb="1">
      <t>スケ</t>
    </rPh>
    <phoneticPr fontId="2"/>
  </si>
  <si>
    <t>関係なし</t>
    <rPh sb="0" eb="2">
      <t>カンケイ</t>
    </rPh>
    <phoneticPr fontId="2"/>
  </si>
  <si>
    <t>軽減基準</t>
    <rPh sb="0" eb="2">
      <t>ケイゲン</t>
    </rPh>
    <rPh sb="2" eb="4">
      <t>キジュン</t>
    </rPh>
    <phoneticPr fontId="2"/>
  </si>
  <si>
    <t>後社</t>
    <rPh sb="0" eb="2">
      <t>ゴシャ</t>
    </rPh>
    <phoneticPr fontId="2"/>
  </si>
  <si>
    <t>後国</t>
    <rPh sb="0" eb="1">
      <t>アト</t>
    </rPh>
    <rPh sb="1" eb="2">
      <t>コク</t>
    </rPh>
    <phoneticPr fontId="2"/>
  </si>
  <si>
    <t>軽減額</t>
    <rPh sb="0" eb="2">
      <t>ケイゲン</t>
    </rPh>
    <rPh sb="2" eb="3">
      <t>ガク</t>
    </rPh>
    <phoneticPr fontId="2"/>
  </si>
  <si>
    <t>半額軽減</t>
    <rPh sb="0" eb="2">
      <t>ハンガク</t>
    </rPh>
    <rPh sb="2" eb="4">
      <t>ケイゲン</t>
    </rPh>
    <phoneticPr fontId="2"/>
  </si>
  <si>
    <t>月額支援</t>
    <rPh sb="0" eb="2">
      <t>ゲツガク</t>
    </rPh>
    <rPh sb="2" eb="4">
      <t>シエン</t>
    </rPh>
    <phoneticPr fontId="2"/>
  </si>
  <si>
    <t>／年</t>
    <rPh sb="1" eb="2">
      <t>ネン</t>
    </rPh>
    <phoneticPr fontId="2"/>
  </si>
  <si>
    <t>←２年間所得割軽減・均等割平等割半額</t>
    <rPh sb="2" eb="4">
      <t>ネンカン</t>
    </rPh>
    <rPh sb="4" eb="6">
      <t>ショトク</t>
    </rPh>
    <rPh sb="6" eb="7">
      <t>ワリ</t>
    </rPh>
    <rPh sb="7" eb="9">
      <t>ケイゲン</t>
    </rPh>
    <rPh sb="10" eb="13">
      <t>キントウワ</t>
    </rPh>
    <rPh sb="13" eb="15">
      <t>ビョウドウ</t>
    </rPh>
    <rPh sb="15" eb="16">
      <t>ワリ</t>
    </rPh>
    <rPh sb="16" eb="18">
      <t>ハンガク</t>
    </rPh>
    <phoneticPr fontId="2"/>
  </si>
  <si>
    <t>後期高齢者（旧国保）</t>
    <rPh sb="0" eb="2">
      <t>コウキ</t>
    </rPh>
    <rPh sb="2" eb="4">
      <t>コウレイ</t>
    </rPh>
    <rPh sb="4" eb="5">
      <t>シャ</t>
    </rPh>
    <rPh sb="6" eb="7">
      <t>キュウ</t>
    </rPh>
    <rPh sb="7" eb="9">
      <t>コクホ</t>
    </rPh>
    <phoneticPr fontId="2"/>
  </si>
  <si>
    <t>後期高齢者（旧社保）</t>
    <rPh sb="0" eb="2">
      <t>コウキ</t>
    </rPh>
    <rPh sb="2" eb="4">
      <t>コウレイ</t>
    </rPh>
    <rPh sb="4" eb="5">
      <t>シャ</t>
    </rPh>
    <rPh sb="6" eb="7">
      <t>キュウ</t>
    </rPh>
    <rPh sb="7" eb="8">
      <t>シャ</t>
    </rPh>
    <rPh sb="8" eb="9">
      <t>ホ</t>
    </rPh>
    <phoneticPr fontId="2"/>
  </si>
  <si>
    <t>←５年間軽減所得に入れ、単身なら平等割半額</t>
    <rPh sb="2" eb="4">
      <t>ネンカン</t>
    </rPh>
    <rPh sb="4" eb="6">
      <t>ケイゲン</t>
    </rPh>
    <rPh sb="6" eb="8">
      <t>ショトク</t>
    </rPh>
    <rPh sb="9" eb="10">
      <t>イ</t>
    </rPh>
    <rPh sb="12" eb="14">
      <t>タンシン</t>
    </rPh>
    <rPh sb="16" eb="18">
      <t>ビョウドウ</t>
    </rPh>
    <rPh sb="18" eb="19">
      <t>ワリ</t>
    </rPh>
    <rPh sb="19" eb="21">
      <t>ハンガク</t>
    </rPh>
    <phoneticPr fontId="2"/>
  </si>
  <si>
    <t>均等割軽減中</t>
    <rPh sb="0" eb="3">
      <t>キントウワリ</t>
    </rPh>
    <rPh sb="3" eb="5">
      <t>ケイゲン</t>
    </rPh>
    <rPh sb="5" eb="6">
      <t>チュウ</t>
    </rPh>
    <phoneticPr fontId="2"/>
  </si>
  <si>
    <t>半額時</t>
    <rPh sb="0" eb="2">
      <t>ハンガク</t>
    </rPh>
    <rPh sb="2" eb="3">
      <t>ジ</t>
    </rPh>
    <phoneticPr fontId="2"/>
  </si>
  <si>
    <t>65以上人数</t>
    <rPh sb="2" eb="4">
      <t>イジョウ</t>
    </rPh>
    <rPh sb="4" eb="6">
      <t>ニンズウ</t>
    </rPh>
    <phoneticPr fontId="2"/>
  </si>
  <si>
    <t>６５歳以上年金額</t>
    <rPh sb="2" eb="3">
      <t>サイ</t>
    </rPh>
    <rPh sb="3" eb="5">
      <t>イジョウ</t>
    </rPh>
    <rPh sb="5" eb="7">
      <t>ネンキン</t>
    </rPh>
    <rPh sb="7" eb="8">
      <t>ガク</t>
    </rPh>
    <phoneticPr fontId="2"/>
  </si>
  <si>
    <t>特別徴収基準額</t>
    <rPh sb="0" eb="2">
      <t>トクベツ</t>
    </rPh>
    <rPh sb="2" eb="4">
      <t>チョウシュウ</t>
    </rPh>
    <rPh sb="4" eb="6">
      <t>キジュン</t>
    </rPh>
    <rPh sb="6" eb="7">
      <t>ガク</t>
    </rPh>
    <phoneticPr fontId="2"/>
  </si>
  <si>
    <t>特別徴収可能性</t>
    <rPh sb="0" eb="2">
      <t>トクベツ</t>
    </rPh>
    <rPh sb="2" eb="4">
      <t>チョウシュウ</t>
    </rPh>
    <rPh sb="4" eb="7">
      <t>カノウセイ</t>
    </rPh>
    <phoneticPr fontId="2"/>
  </si>
  <si>
    <t>①</t>
    <phoneticPr fontId="2"/>
  </si>
  <si>
    <t>③</t>
    <phoneticPr fontId="2"/>
  </si>
  <si>
    <t>②</t>
    <phoneticPr fontId="2"/>
  </si>
  <si>
    <t>④</t>
    <phoneticPr fontId="2"/>
  </si>
  <si>
    <t>⑤</t>
    <phoneticPr fontId="2"/>
  </si>
  <si>
    <t>⑥</t>
    <phoneticPr fontId="2"/>
  </si>
  <si>
    <t>医療分均等割</t>
    <rPh sb="0" eb="2">
      <t>イリョウ</t>
    </rPh>
    <rPh sb="2" eb="3">
      <t>ブン</t>
    </rPh>
    <rPh sb="3" eb="6">
      <t>キントウワリ</t>
    </rPh>
    <phoneticPr fontId="2"/>
  </si>
  <si>
    <t>支援分均等割</t>
    <rPh sb="0" eb="2">
      <t>シエン</t>
    </rPh>
    <rPh sb="2" eb="3">
      <t>ブン</t>
    </rPh>
    <rPh sb="3" eb="6">
      <t>キントウワリ</t>
    </rPh>
    <phoneticPr fontId="2"/>
  </si>
  <si>
    <t>／月</t>
    <rPh sb="1" eb="2">
      <t>ツキ</t>
    </rPh>
    <phoneticPr fontId="2"/>
  </si>
  <si>
    <t>月割保険料</t>
    <rPh sb="0" eb="2">
      <t>ツキワリ</t>
    </rPh>
    <rPh sb="2" eb="4">
      <t>ホケン</t>
    </rPh>
    <rPh sb="4" eb="5">
      <t>リョウ</t>
    </rPh>
    <phoneticPr fontId="2"/>
  </si>
  <si>
    <t>６５歳以上年金額</t>
    <rPh sb="2" eb="3">
      <t>サイ</t>
    </rPh>
    <rPh sb="3" eb="5">
      <t>イジョウ</t>
    </rPh>
    <rPh sb="5" eb="8">
      <t>ネンキンガク</t>
    </rPh>
    <phoneticPr fontId="2"/>
  </si>
  <si>
    <t>4月分</t>
    <phoneticPr fontId="2"/>
  </si>
  <si>
    <t>5月分</t>
    <phoneticPr fontId="2"/>
  </si>
  <si>
    <t>6月分</t>
    <phoneticPr fontId="2"/>
  </si>
  <si>
    <t>7月分</t>
    <phoneticPr fontId="2"/>
  </si>
  <si>
    <t>8月分</t>
    <phoneticPr fontId="2"/>
  </si>
  <si>
    <t>9月分</t>
    <phoneticPr fontId="2"/>
  </si>
  <si>
    <t>10月分</t>
    <phoneticPr fontId="2"/>
  </si>
  <si>
    <t>11月分</t>
    <phoneticPr fontId="2"/>
  </si>
  <si>
    <t>12月分</t>
    <phoneticPr fontId="2"/>
  </si>
  <si>
    <t>1月分</t>
    <phoneticPr fontId="2"/>
  </si>
  <si>
    <t>2月分</t>
    <phoneticPr fontId="2"/>
  </si>
  <si>
    <t>3月分</t>
    <phoneticPr fontId="2"/>
  </si>
  <si>
    <t>&lt;&lt;医療分&gt;&gt;</t>
    <rPh sb="2" eb="4">
      <t>イリョウ</t>
    </rPh>
    <rPh sb="4" eb="5">
      <t>ブン</t>
    </rPh>
    <phoneticPr fontId="2"/>
  </si>
  <si>
    <t>&lt;&lt;後期高齢者支援分&gt;&gt;</t>
    <rPh sb="2" eb="4">
      <t>コウキ</t>
    </rPh>
    <rPh sb="4" eb="7">
      <t>コウレイシャ</t>
    </rPh>
    <rPh sb="7" eb="9">
      <t>シエン</t>
    </rPh>
    <rPh sb="9" eb="10">
      <t>ブン</t>
    </rPh>
    <phoneticPr fontId="2"/>
  </si>
  <si>
    <t>&lt;&lt;介護分&gt;&gt;</t>
    <rPh sb="2" eb="4">
      <t>カイゴ</t>
    </rPh>
    <rPh sb="4" eb="5">
      <t>ブン</t>
    </rPh>
    <phoneticPr fontId="2"/>
  </si>
  <si>
    <t>①世帯主</t>
    <rPh sb="1" eb="4">
      <t>セタイヌシ</t>
    </rPh>
    <phoneticPr fontId="2"/>
  </si>
  <si>
    <t>医　療　分</t>
    <rPh sb="0" eb="1">
      <t>イ</t>
    </rPh>
    <rPh sb="2" eb="3">
      <t>リョウ</t>
    </rPh>
    <rPh sb="4" eb="5">
      <t>ブン</t>
    </rPh>
    <phoneticPr fontId="2"/>
  </si>
  <si>
    <t>②世帯員</t>
    <rPh sb="1" eb="4">
      <t>セタイイン</t>
    </rPh>
    <phoneticPr fontId="2"/>
  </si>
  <si>
    <t>③世帯員</t>
    <rPh sb="1" eb="4">
      <t>セタイイン</t>
    </rPh>
    <phoneticPr fontId="2"/>
  </si>
  <si>
    <t>④世帯員</t>
    <rPh sb="1" eb="4">
      <t>セタイイン</t>
    </rPh>
    <phoneticPr fontId="2"/>
  </si>
  <si>
    <t>⑤世帯員</t>
    <rPh sb="1" eb="4">
      <t>セタイイン</t>
    </rPh>
    <phoneticPr fontId="2"/>
  </si>
  <si>
    <t>⑥世帯員</t>
    <rPh sb="1" eb="4">
      <t>セタイイン</t>
    </rPh>
    <phoneticPr fontId="2"/>
  </si>
  <si>
    <t>介　護　分</t>
    <rPh sb="0" eb="1">
      <t>スケ</t>
    </rPh>
    <rPh sb="2" eb="3">
      <t>マモル</t>
    </rPh>
    <rPh sb="4" eb="5">
      <t>ブン</t>
    </rPh>
    <phoneticPr fontId="2"/>
  </si>
  <si>
    <t>支援分</t>
    <rPh sb="0" eb="2">
      <t>シエン</t>
    </rPh>
    <rPh sb="2" eb="3">
      <t>ブン</t>
    </rPh>
    <phoneticPr fontId="2"/>
  </si>
  <si>
    <t>介護分均等割</t>
    <rPh sb="0" eb="2">
      <t>カイゴ</t>
    </rPh>
    <rPh sb="2" eb="3">
      <t>ブン</t>
    </rPh>
    <rPh sb="3" eb="5">
      <t>キントウ</t>
    </rPh>
    <rPh sb="5" eb="6">
      <t>ワ</t>
    </rPh>
    <phoneticPr fontId="2"/>
  </si>
  <si>
    <t>（５年間加入者１人の場合には平等割は半額、その他の場合も旧国保者の所得は軽減判定に加わります。旧社保の方は、当分の間所得割・均等割・平等割が減額されます）</t>
    <rPh sb="2" eb="3">
      <t>ネン</t>
    </rPh>
    <rPh sb="3" eb="4">
      <t>カン</t>
    </rPh>
    <rPh sb="4" eb="7">
      <t>カニュウシャ</t>
    </rPh>
    <rPh sb="8" eb="9">
      <t>ニン</t>
    </rPh>
    <rPh sb="10" eb="12">
      <t>バアイ</t>
    </rPh>
    <rPh sb="14" eb="16">
      <t>ビョウドウ</t>
    </rPh>
    <rPh sb="16" eb="17">
      <t>ワリ</t>
    </rPh>
    <rPh sb="18" eb="20">
      <t>ハンガク</t>
    </rPh>
    <rPh sb="23" eb="24">
      <t>タ</t>
    </rPh>
    <rPh sb="25" eb="27">
      <t>バアイ</t>
    </rPh>
    <rPh sb="28" eb="29">
      <t>キュウ</t>
    </rPh>
    <rPh sb="29" eb="31">
      <t>コクホ</t>
    </rPh>
    <rPh sb="31" eb="32">
      <t>シャ</t>
    </rPh>
    <rPh sb="33" eb="35">
      <t>ショトク</t>
    </rPh>
    <rPh sb="36" eb="38">
      <t>ケイゲン</t>
    </rPh>
    <rPh sb="38" eb="40">
      <t>ハンテイ</t>
    </rPh>
    <rPh sb="41" eb="42">
      <t>クワ</t>
    </rPh>
    <rPh sb="47" eb="48">
      <t>キュウ</t>
    </rPh>
    <rPh sb="48" eb="50">
      <t>シャホ</t>
    </rPh>
    <rPh sb="51" eb="52">
      <t>カタ</t>
    </rPh>
    <rPh sb="54" eb="56">
      <t>トウブン</t>
    </rPh>
    <rPh sb="57" eb="58">
      <t>アイダ</t>
    </rPh>
    <rPh sb="58" eb="61">
      <t>ショトクワ</t>
    </rPh>
    <rPh sb="62" eb="65">
      <t>キントウワリ</t>
    </rPh>
    <rPh sb="66" eb="69">
      <t>ビョウドウワ</t>
    </rPh>
    <rPh sb="70" eb="72">
      <t>ゲンガク</t>
    </rPh>
    <phoneticPr fontId="2"/>
  </si>
  <si>
    <t>※旧国保の後期高齢者は５年間、旧社保の後期高齢者は「後期高齢者（旧・・・）」を選んでください。</t>
    <rPh sb="1" eb="2">
      <t>キュウ</t>
    </rPh>
    <rPh sb="2" eb="4">
      <t>コクホ</t>
    </rPh>
    <rPh sb="5" eb="7">
      <t>コウキ</t>
    </rPh>
    <rPh sb="7" eb="10">
      <t>コウレイシャ</t>
    </rPh>
    <rPh sb="12" eb="13">
      <t>ネン</t>
    </rPh>
    <rPh sb="13" eb="14">
      <t>カン</t>
    </rPh>
    <rPh sb="15" eb="16">
      <t>キュウ</t>
    </rPh>
    <rPh sb="16" eb="18">
      <t>シャホ</t>
    </rPh>
    <rPh sb="19" eb="24">
      <t>コウキコウレイシャ</t>
    </rPh>
    <rPh sb="26" eb="28">
      <t>コウキ</t>
    </rPh>
    <rPh sb="28" eb="31">
      <t>コウレイシャ</t>
    </rPh>
    <rPh sb="32" eb="33">
      <t>キュウ</t>
    </rPh>
    <rPh sb="39" eb="40">
      <t>エラ</t>
    </rPh>
    <phoneticPr fontId="2"/>
  </si>
  <si>
    <r>
      <t>※この計算書は、</t>
    </r>
    <r>
      <rPr>
        <b/>
        <i/>
        <u/>
        <sz val="20"/>
        <rFont val="ＭＳ Ｐゴシック"/>
        <family val="3"/>
        <charset val="128"/>
      </rPr>
      <t>試算</t>
    </r>
    <r>
      <rPr>
        <b/>
        <i/>
        <u/>
        <sz val="12"/>
        <rFont val="ＭＳ Ｐゴシック"/>
        <family val="3"/>
        <charset val="128"/>
      </rPr>
      <t>です。実際の国民健康保険料は</t>
    </r>
    <r>
      <rPr>
        <b/>
        <i/>
        <u/>
        <sz val="20"/>
        <rFont val="ＭＳ Ｐゴシック"/>
        <family val="3"/>
        <charset val="128"/>
      </rPr>
      <t>大幅に変更される場合</t>
    </r>
    <r>
      <rPr>
        <b/>
        <i/>
        <u/>
        <sz val="16"/>
        <rFont val="ＭＳ Ｐゴシック"/>
        <family val="3"/>
        <charset val="128"/>
      </rPr>
      <t>があります。</t>
    </r>
    <rPh sb="3" eb="5">
      <t>ケイサン</t>
    </rPh>
    <rPh sb="5" eb="6">
      <t>ショ</t>
    </rPh>
    <rPh sb="8" eb="10">
      <t>シサン</t>
    </rPh>
    <phoneticPr fontId="2"/>
  </si>
  <si>
    <r>
      <t>※現在、どなたかが高額療養費制度を利用していれば、</t>
    </r>
    <r>
      <rPr>
        <b/>
        <i/>
        <u/>
        <sz val="20"/>
        <rFont val="ＭＳ Ｐゴシック"/>
        <family val="3"/>
        <charset val="128"/>
      </rPr>
      <t>負担額に影響する場合</t>
    </r>
    <r>
      <rPr>
        <b/>
        <i/>
        <u/>
        <sz val="12"/>
        <rFont val="ＭＳ Ｐゴシック"/>
        <family val="3"/>
        <charset val="128"/>
      </rPr>
      <t>があります。</t>
    </r>
    <rPh sb="1" eb="3">
      <t>ゲンザイ</t>
    </rPh>
    <rPh sb="9" eb="11">
      <t>コウガク</t>
    </rPh>
    <rPh sb="11" eb="14">
      <t>リョウヨウヒ</t>
    </rPh>
    <rPh sb="14" eb="16">
      <t>セイド</t>
    </rPh>
    <rPh sb="17" eb="19">
      <t>リヨウ</t>
    </rPh>
    <rPh sb="25" eb="27">
      <t>フタン</t>
    </rPh>
    <rPh sb="27" eb="28">
      <t>ガク</t>
    </rPh>
    <rPh sb="29" eb="31">
      <t>エイキョウ</t>
    </rPh>
    <rPh sb="33" eb="35">
      <t>バアイ</t>
    </rPh>
    <phoneticPr fontId="2"/>
  </si>
  <si>
    <t>基礎控除増額分</t>
    <rPh sb="0" eb="4">
      <t>キソコウジョ</t>
    </rPh>
    <rPh sb="4" eb="7">
      <t>ゾウガクブン</t>
    </rPh>
    <phoneticPr fontId="2"/>
  </si>
  <si>
    <t>軽減判定増額</t>
    <rPh sb="0" eb="2">
      <t>ケイゲン</t>
    </rPh>
    <rPh sb="2" eb="4">
      <t>ハンテイ</t>
    </rPh>
    <rPh sb="4" eb="6">
      <t>ゾウガク</t>
    </rPh>
    <phoneticPr fontId="2"/>
  </si>
  <si>
    <t>軽減基準増額後</t>
    <rPh sb="0" eb="2">
      <t>ケイゲン</t>
    </rPh>
    <rPh sb="2" eb="4">
      <t>キジュン</t>
    </rPh>
    <rPh sb="4" eb="7">
      <t>ゾウガクゴ</t>
    </rPh>
    <phoneticPr fontId="2"/>
  </si>
  <si>
    <t>7割</t>
    <rPh sb="1" eb="2">
      <t>ワ</t>
    </rPh>
    <phoneticPr fontId="2"/>
  </si>
  <si>
    <t>5割</t>
    <rPh sb="1" eb="2">
      <t>ワ</t>
    </rPh>
    <phoneticPr fontId="2"/>
  </si>
  <si>
    <t>2割</t>
    <rPh sb="1" eb="2">
      <t>ワ</t>
    </rPh>
    <phoneticPr fontId="2"/>
  </si>
  <si>
    <t>あり</t>
    <phoneticPr fontId="2"/>
  </si>
  <si>
    <t>給与・年金
一定以上</t>
    <rPh sb="0" eb="2">
      <t>キュウヨ</t>
    </rPh>
    <rPh sb="3" eb="5">
      <t>ネンキン</t>
    </rPh>
    <rPh sb="6" eb="8">
      <t>イッテイ</t>
    </rPh>
    <rPh sb="8" eb="10">
      <t>イジョウ</t>
    </rPh>
    <phoneticPr fontId="2"/>
  </si>
  <si>
    <t>後期高齢者支援分</t>
    <phoneticPr fontId="2"/>
  </si>
  <si>
    <t>●</t>
    <phoneticPr fontId="32"/>
  </si>
  <si>
    <t>下記の情報を入力をしてください。算出結果はこのシートの下に表示されます。</t>
    <rPh sb="0" eb="2">
      <t>カキ</t>
    </rPh>
    <rPh sb="3" eb="5">
      <t>ジョウホウ</t>
    </rPh>
    <rPh sb="6" eb="8">
      <t>ニュウリョク</t>
    </rPh>
    <rPh sb="16" eb="18">
      <t>サンシュツ</t>
    </rPh>
    <rPh sb="18" eb="20">
      <t>ケッカ</t>
    </rPh>
    <rPh sb="27" eb="28">
      <t>シタ</t>
    </rPh>
    <rPh sb="29" eb="31">
      <t>ヒョウジ</t>
    </rPh>
    <phoneticPr fontId="32"/>
  </si>
  <si>
    <t>(入力する部分は</t>
  </si>
  <si>
    <t>です）</t>
    <phoneticPr fontId="32"/>
  </si>
  <si>
    <t>世帯主</t>
    <rPh sb="0" eb="3">
      <t>セタイヌシ</t>
    </rPh>
    <phoneticPr fontId="32"/>
  </si>
  <si>
    <t>世帯員１</t>
    <rPh sb="0" eb="2">
      <t>セタイ</t>
    </rPh>
    <rPh sb="2" eb="3">
      <t>イン</t>
    </rPh>
    <phoneticPr fontId="32"/>
  </si>
  <si>
    <t>世帯員２</t>
    <rPh sb="0" eb="2">
      <t>セタイ</t>
    </rPh>
    <rPh sb="2" eb="3">
      <t>イン</t>
    </rPh>
    <phoneticPr fontId="32"/>
  </si>
  <si>
    <t>世帯員３</t>
    <rPh sb="0" eb="2">
      <t>セタイ</t>
    </rPh>
    <rPh sb="2" eb="3">
      <t>イン</t>
    </rPh>
    <phoneticPr fontId="32"/>
  </si>
  <si>
    <t>①</t>
    <phoneticPr fontId="32"/>
  </si>
  <si>
    <t>国民健康保険加入の状況</t>
    <rPh sb="0" eb="2">
      <t>コクミン</t>
    </rPh>
    <rPh sb="2" eb="4">
      <t>ケンコウ</t>
    </rPh>
    <rPh sb="4" eb="6">
      <t>ホケン</t>
    </rPh>
    <rPh sb="6" eb="8">
      <t>カニュウ</t>
    </rPh>
    <rPh sb="9" eb="11">
      <t>ジョウキョウ</t>
    </rPh>
    <phoneticPr fontId="32"/>
  </si>
  <si>
    <t>②</t>
    <phoneticPr fontId="32"/>
  </si>
  <si>
    <t>年齢区分</t>
    <rPh sb="0" eb="2">
      <t>ネンレイ</t>
    </rPh>
    <rPh sb="2" eb="4">
      <t>クブン</t>
    </rPh>
    <phoneticPr fontId="32"/>
  </si>
  <si>
    <t>③</t>
    <phoneticPr fontId="32"/>
  </si>
  <si>
    <t>給与所得</t>
    <rPh sb="0" eb="2">
      <t>キュウヨ</t>
    </rPh>
    <rPh sb="2" eb="4">
      <t>ショトク</t>
    </rPh>
    <phoneticPr fontId="32"/>
  </si>
  <si>
    <t>その他所得</t>
    <rPh sb="2" eb="3">
      <t>ホカ</t>
    </rPh>
    <rPh sb="3" eb="5">
      <t>ショトク</t>
    </rPh>
    <phoneticPr fontId="32"/>
  </si>
  <si>
    <t>合計</t>
    <rPh sb="0" eb="2">
      <t>ゴウケイ</t>
    </rPh>
    <phoneticPr fontId="32"/>
  </si>
  <si>
    <t>「①国民健康保険加入の状況」について</t>
    <phoneticPr fontId="32"/>
  </si>
  <si>
    <t>「②年齢区分」について</t>
    <rPh sb="2" eb="4">
      <t>ネンレイ</t>
    </rPh>
    <rPh sb="4" eb="6">
      <t>クブン</t>
    </rPh>
    <phoneticPr fontId="32"/>
  </si>
  <si>
    <t>小学校入学前の子どもは未就学児を選択してください。</t>
    <rPh sb="0" eb="3">
      <t>ショウガッコウ</t>
    </rPh>
    <rPh sb="3" eb="6">
      <t>ニュウガクマエ</t>
    </rPh>
    <rPh sb="7" eb="8">
      <t>コ</t>
    </rPh>
    <rPh sb="11" eb="15">
      <t>ミシュウガクジ</t>
    </rPh>
    <rPh sb="16" eb="18">
      <t>センタク</t>
    </rPh>
    <phoneticPr fontId="32"/>
  </si>
  <si>
    <t>「③所得状況について」について</t>
    <rPh sb="2" eb="4">
      <t>ショトク</t>
    </rPh>
    <rPh sb="4" eb="6">
      <t>ジョウキョウ</t>
    </rPh>
    <phoneticPr fontId="32"/>
  </si>
  <si>
    <t>※</t>
    <phoneticPr fontId="32"/>
  </si>
  <si>
    <t>退職所得、傷病手当金、失業手当、遺族・障害年金は算定対象になりません。</t>
    <phoneticPr fontId="32"/>
  </si>
  <si>
    <t>保険料試算結果</t>
    <rPh sb="0" eb="3">
      <t>ホケンリョウ</t>
    </rPh>
    <rPh sb="3" eb="5">
      <t>シサン</t>
    </rPh>
    <rPh sb="5" eb="7">
      <t>ケッカ</t>
    </rPh>
    <phoneticPr fontId="32"/>
  </si>
  <si>
    <t>医療分保険料</t>
    <rPh sb="0" eb="2">
      <t>イリョウ</t>
    </rPh>
    <rPh sb="2" eb="3">
      <t>ブン</t>
    </rPh>
    <rPh sb="3" eb="6">
      <t>ホケンリョウ</t>
    </rPh>
    <phoneticPr fontId="32"/>
  </si>
  <si>
    <t>円</t>
    <rPh sb="0" eb="1">
      <t>エ</t>
    </rPh>
    <phoneticPr fontId="32"/>
  </si>
  <si>
    <t>支援金分保険料</t>
    <rPh sb="0" eb="3">
      <t>シエンキン</t>
    </rPh>
    <rPh sb="3" eb="4">
      <t>ブン</t>
    </rPh>
    <rPh sb="4" eb="7">
      <t>ホケンリョウ</t>
    </rPh>
    <phoneticPr fontId="32"/>
  </si>
  <si>
    <t>介護分保険料</t>
    <rPh sb="0" eb="2">
      <t>カイゴ</t>
    </rPh>
    <rPh sb="2" eb="3">
      <t>ブン</t>
    </rPh>
    <rPh sb="3" eb="6">
      <t>ホケンリョウ</t>
    </rPh>
    <phoneticPr fontId="32"/>
  </si>
  <si>
    <t>で計算しています。</t>
    <rPh sb="1" eb="3">
      <t>ケイサン</t>
    </rPh>
    <phoneticPr fontId="32"/>
  </si>
  <si>
    <t>合計（①+②+③）</t>
    <rPh sb="0" eb="2">
      <t>ゴウケイ</t>
    </rPh>
    <phoneticPr fontId="32"/>
  </si>
  <si>
    <t>65歳以上の方の介護保険料は国民健康保険料と別途納めていただきます。</t>
    <rPh sb="2" eb="3">
      <t>サイ</t>
    </rPh>
    <rPh sb="3" eb="5">
      <t>イジョウ</t>
    </rPh>
    <rPh sb="6" eb="7">
      <t>カタ</t>
    </rPh>
    <rPh sb="8" eb="10">
      <t>カイゴ</t>
    </rPh>
    <rPh sb="10" eb="13">
      <t>ホケンリョウ</t>
    </rPh>
    <rPh sb="14" eb="16">
      <t>コクミン</t>
    </rPh>
    <rPh sb="20" eb="21">
      <t>リョウ</t>
    </rPh>
    <rPh sb="22" eb="24">
      <t>ベット</t>
    </rPh>
    <rPh sb="24" eb="25">
      <t>オサ</t>
    </rPh>
    <phoneticPr fontId="32"/>
  </si>
  <si>
    <t>この保険料額の計算は、あくまで概算額での試算となります。実際の保険料額とは異なる場合があります。</t>
    <rPh sb="4" eb="5">
      <t>リョウ</t>
    </rPh>
    <rPh sb="33" eb="34">
      <t>リョウ</t>
    </rPh>
    <phoneticPr fontId="31"/>
  </si>
  <si>
    <t>　　所得の状況について</t>
    <rPh sb="2" eb="4">
      <t>ショトク</t>
    </rPh>
    <rPh sb="5" eb="7">
      <t>ジョウキョウ</t>
    </rPh>
    <phoneticPr fontId="32"/>
  </si>
  <si>
    <t>世帯員４</t>
    <rPh sb="0" eb="2">
      <t>セタイ</t>
    </rPh>
    <rPh sb="2" eb="3">
      <t>イン</t>
    </rPh>
    <phoneticPr fontId="32"/>
  </si>
  <si>
    <t>令和6年４月１日時点の年齢区分を選択してください。</t>
    <rPh sb="0" eb="2">
      <t>レイワ</t>
    </rPh>
    <rPh sb="3" eb="4">
      <t>ネン</t>
    </rPh>
    <rPh sb="5" eb="6">
      <t>ガツ</t>
    </rPh>
    <rPh sb="7" eb="8">
      <t>ニチ</t>
    </rPh>
    <rPh sb="8" eb="10">
      <t>ジテン</t>
    </rPh>
    <rPh sb="11" eb="13">
      <t>ネンレイ</t>
    </rPh>
    <rPh sb="13" eb="15">
      <t>クブン</t>
    </rPh>
    <rPh sb="16" eb="18">
      <t>センタク</t>
    </rPh>
    <phoneticPr fontId="32"/>
  </si>
  <si>
    <t>令和6年度国民健康保険料試算</t>
    <rPh sb="0" eb="2">
      <t>レイワ</t>
    </rPh>
    <rPh sb="3" eb="5">
      <t>ネンド</t>
    </rPh>
    <rPh sb="5" eb="7">
      <t>コクミン</t>
    </rPh>
    <rPh sb="7" eb="9">
      <t>ケンコウ</t>
    </rPh>
    <rPh sb="9" eb="11">
      <t>ホケン</t>
    </rPh>
    <rPh sb="11" eb="12">
      <t>リョウ</t>
    </rPh>
    <rPh sb="12" eb="14">
      <t>シサン</t>
    </rPh>
    <phoneticPr fontId="2"/>
  </si>
  <si>
    <t>加入しない</t>
    <rPh sb="0" eb="2">
      <t>カニュウ</t>
    </rPh>
    <phoneticPr fontId="2"/>
  </si>
  <si>
    <t>未就学児</t>
    <rPh sb="0" eb="4">
      <t>ミシュウガクジ</t>
    </rPh>
    <phoneticPr fontId="2"/>
  </si>
  <si>
    <t>令和6年4月～令和7年3月の1年間の保険料額です。</t>
    <rPh sb="0" eb="2">
      <t>レイワ</t>
    </rPh>
    <rPh sb="7" eb="9">
      <t>レイワ</t>
    </rPh>
    <rPh sb="15" eb="17">
      <t>ネンカン</t>
    </rPh>
    <rPh sb="18" eb="21">
      <t>ホケンリョウ</t>
    </rPh>
    <rPh sb="21" eb="22">
      <t>ガク</t>
    </rPh>
    <phoneticPr fontId="32"/>
  </si>
  <si>
    <t>保険料の月額</t>
    <rPh sb="0" eb="3">
      <t>ホケンリョウ</t>
    </rPh>
    <rPh sb="4" eb="6">
      <t>ゲツガク</t>
    </rPh>
    <phoneticPr fontId="2"/>
  </si>
  <si>
    <t>円</t>
    <rPh sb="0" eb="1">
      <t>エン</t>
    </rPh>
    <phoneticPr fontId="2"/>
  </si>
  <si>
    <t>　１か月あたりの保険料でご請求はしませんので、ご注意ください。</t>
  </si>
  <si>
    <t xml:space="preserve"> ※国民健康保険料は、「年10回払い」で納付していただきます</t>
    <phoneticPr fontId="2"/>
  </si>
  <si>
    <t>この試算は、加入人数</t>
    <rPh sb="2" eb="4">
      <t>シサン</t>
    </rPh>
    <rPh sb="6" eb="8">
      <t>カニュウ</t>
    </rPh>
    <rPh sb="8" eb="10">
      <t>ニンズウ</t>
    </rPh>
    <phoneticPr fontId="32"/>
  </si>
  <si>
    <t>人、</t>
    <rPh sb="0" eb="1">
      <t>ヒト</t>
    </rPh>
    <phoneticPr fontId="2"/>
  </si>
  <si>
    <t>国民健康保険料試算</t>
    <rPh sb="0" eb="2">
      <t>コクミン</t>
    </rPh>
    <rPh sb="2" eb="4">
      <t>ケンコウ</t>
    </rPh>
    <rPh sb="4" eb="7">
      <t>ホケンリョウ</t>
    </rPh>
    <rPh sb="7" eb="9">
      <t>シサン</t>
    </rPh>
    <phoneticPr fontId="2"/>
  </si>
  <si>
    <t>令和6年度　長岡京市　国民健康保険料　試算シート</t>
    <rPh sb="0" eb="2">
      <t>レイワ</t>
    </rPh>
    <rPh sb="3" eb="5">
      <t>ネンド</t>
    </rPh>
    <rPh sb="6" eb="9">
      <t>ナガオカキョウ</t>
    </rPh>
    <rPh sb="9" eb="10">
      <t>シ</t>
    </rPh>
    <rPh sb="11" eb="18">
      <t>コクミンケンコウホケンリョウ</t>
    </rPh>
    <rPh sb="19" eb="21">
      <t>シサン</t>
    </rPh>
    <phoneticPr fontId="32"/>
  </si>
  <si>
    <t>「給与所得」は源泉徴収票の、給与所得控除後の金額をご確認ください。</t>
    <rPh sb="1" eb="3">
      <t>キュウヨ</t>
    </rPh>
    <rPh sb="3" eb="5">
      <t>ショトク</t>
    </rPh>
    <rPh sb="7" eb="9">
      <t>ゲンセン</t>
    </rPh>
    <rPh sb="9" eb="12">
      <t>チョウシュウヒョウ</t>
    </rPh>
    <rPh sb="14" eb="16">
      <t>キュウヨ</t>
    </rPh>
    <rPh sb="16" eb="18">
      <t>ショトク</t>
    </rPh>
    <rPh sb="18" eb="20">
      <t>コウジョ</t>
    </rPh>
    <rPh sb="20" eb="21">
      <t>アト</t>
    </rPh>
    <rPh sb="22" eb="24">
      <t>キンガク</t>
    </rPh>
    <rPh sb="26" eb="28">
      <t>カクニン</t>
    </rPh>
    <phoneticPr fontId="2"/>
  </si>
  <si>
    <t>公的年金所得</t>
    <rPh sb="0" eb="2">
      <t>コウテキ</t>
    </rPh>
    <rPh sb="2" eb="4">
      <t>ネンキン</t>
    </rPh>
    <rPh sb="4" eb="6">
      <t>ショトク</t>
    </rPh>
    <phoneticPr fontId="32"/>
  </si>
  <si>
    <r>
      <rPr>
        <b/>
        <sz val="10"/>
        <color theme="1"/>
        <rFont val="メイリオ"/>
        <family val="3"/>
        <charset val="128"/>
      </rPr>
      <t>令和5年中</t>
    </r>
    <r>
      <rPr>
        <sz val="10"/>
        <color theme="1"/>
        <rFont val="メイリオ"/>
        <family val="3"/>
        <charset val="128"/>
      </rPr>
      <t>の所得金額を「給与所得」「公的年金所得」「その他所得」に分け入力してください。</t>
    </r>
    <rPh sb="0" eb="2">
      <t>レイワ</t>
    </rPh>
    <rPh sb="3" eb="4">
      <t>ネン</t>
    </rPh>
    <rPh sb="4" eb="5">
      <t>チュウ</t>
    </rPh>
    <rPh sb="6" eb="8">
      <t>ショトク</t>
    </rPh>
    <rPh sb="8" eb="10">
      <t>キンガク</t>
    </rPh>
    <rPh sb="12" eb="14">
      <t>キュウヨ</t>
    </rPh>
    <rPh sb="14" eb="16">
      <t>ショトク</t>
    </rPh>
    <rPh sb="18" eb="20">
      <t>コウテキ</t>
    </rPh>
    <rPh sb="20" eb="22">
      <t>ネンキン</t>
    </rPh>
    <rPh sb="22" eb="24">
      <t>ショトク</t>
    </rPh>
    <rPh sb="28" eb="29">
      <t>タ</t>
    </rPh>
    <rPh sb="29" eb="31">
      <t>ショトク</t>
    </rPh>
    <rPh sb="33" eb="34">
      <t>ワ</t>
    </rPh>
    <rPh sb="35" eb="37">
      <t>ニュウリョク</t>
    </rPh>
    <phoneticPr fontId="32"/>
  </si>
  <si>
    <t>確定申告されている方は、所得金額等の欄をご確認ください。</t>
    <rPh sb="0" eb="2">
      <t>カクテイ</t>
    </rPh>
    <rPh sb="2" eb="4">
      <t>シンコク</t>
    </rPh>
    <rPh sb="9" eb="10">
      <t>カタ</t>
    </rPh>
    <rPh sb="12" eb="14">
      <t>ショトク</t>
    </rPh>
    <rPh sb="14" eb="16">
      <t>キンガク</t>
    </rPh>
    <rPh sb="16" eb="17">
      <t>ナド</t>
    </rPh>
    <rPh sb="18" eb="19">
      <t>ラン</t>
    </rPh>
    <rPh sb="21" eb="23">
      <t>カクニン</t>
    </rPh>
    <phoneticPr fontId="2"/>
  </si>
  <si>
    <t>「給与所得」「公的年金所得」以外の所得が複数ある場合は、「その他所得」に合算して入力してください。</t>
    <rPh sb="1" eb="3">
      <t>キュウヨ</t>
    </rPh>
    <rPh sb="3" eb="5">
      <t>ショトク</t>
    </rPh>
    <rPh sb="7" eb="9">
      <t>コウテキ</t>
    </rPh>
    <rPh sb="9" eb="11">
      <t>ネンキン</t>
    </rPh>
    <rPh sb="11" eb="13">
      <t>ショトク</t>
    </rPh>
    <rPh sb="14" eb="16">
      <t>イガイ</t>
    </rPh>
    <rPh sb="17" eb="19">
      <t>ショトク</t>
    </rPh>
    <rPh sb="20" eb="22">
      <t>フクスウ</t>
    </rPh>
    <rPh sb="24" eb="26">
      <t>バアイ</t>
    </rPh>
    <rPh sb="31" eb="32">
      <t>タ</t>
    </rPh>
    <rPh sb="32" eb="34">
      <t>ショトク</t>
    </rPh>
    <rPh sb="36" eb="38">
      <t>ガッサン</t>
    </rPh>
    <rPh sb="40" eb="42">
      <t>ニュウリョク</t>
    </rPh>
    <phoneticPr fontId="2"/>
  </si>
  <si>
    <t>世帯主の所得は国民健康保険に加入していなくても保険料軽減の判定に影響します。</t>
    <phoneticPr fontId="32"/>
  </si>
  <si>
    <t>年度途中から加入する方は上記金額を12で割り加入する月から令和7年3月までの月数を乗じた額が保険料額です。</t>
    <rPh sb="0" eb="2">
      <t>ネンド</t>
    </rPh>
    <rPh sb="2" eb="4">
      <t>トチュウ</t>
    </rPh>
    <rPh sb="6" eb="8">
      <t>カニュウ</t>
    </rPh>
    <rPh sb="10" eb="11">
      <t>カタ</t>
    </rPh>
    <rPh sb="12" eb="14">
      <t>ジョウキ</t>
    </rPh>
    <rPh sb="14" eb="16">
      <t>キンガク</t>
    </rPh>
    <rPh sb="20" eb="21">
      <t>ワ</t>
    </rPh>
    <rPh sb="22" eb="24">
      <t>カニュウ</t>
    </rPh>
    <rPh sb="26" eb="27">
      <t>ツキ</t>
    </rPh>
    <rPh sb="29" eb="31">
      <t>レイワ</t>
    </rPh>
    <rPh sb="32" eb="33">
      <t>ネン</t>
    </rPh>
    <rPh sb="34" eb="35">
      <t>ガツ</t>
    </rPh>
    <rPh sb="38" eb="39">
      <t>ツキ</t>
    </rPh>
    <rPh sb="39" eb="40">
      <t>スウ</t>
    </rPh>
    <rPh sb="41" eb="42">
      <t>ジョウ</t>
    </rPh>
    <rPh sb="44" eb="45">
      <t>ガク</t>
    </rPh>
    <rPh sb="46" eb="49">
      <t>ホケンリョウ</t>
    </rPh>
    <rPh sb="49" eb="50">
      <t>ガク</t>
    </rPh>
    <phoneticPr fontId="32"/>
  </si>
  <si>
    <t>年度途中に加入・脱退した方</t>
  </si>
  <si>
    <t>特定同一世帯所属者の方</t>
  </si>
  <si>
    <t>専従者控除がある方、または専従者給与にかかる所得がある方</t>
  </si>
  <si>
    <t>分離課税所得（土地・株式の譲渡所得等）や繰越損失がある方</t>
  </si>
  <si>
    <t>.</t>
    <phoneticPr fontId="32"/>
  </si>
  <si>
    <t>年度途中で４０歳、６５歳または７５歳に到達する方</t>
    <rPh sb="7" eb="8">
      <t>サイ</t>
    </rPh>
    <rPh sb="11" eb="12">
      <t>サイ</t>
    </rPh>
    <rPh sb="17" eb="18">
      <t>サイ</t>
    </rPh>
    <rPh sb="19" eb="21">
      <t>トウタツ</t>
    </rPh>
    <rPh sb="23" eb="24">
      <t>カタ</t>
    </rPh>
    <phoneticPr fontId="2"/>
  </si>
  <si>
    <t>次のいずれかに該当される方が世帯に含まれる場合は、正確な保険料額が計算されないことがあります。</t>
    <rPh sb="0" eb="1">
      <t>ツギ</t>
    </rPh>
    <rPh sb="7" eb="9">
      <t>ガイトウ</t>
    </rPh>
    <rPh sb="12" eb="13">
      <t>カタ</t>
    </rPh>
    <rPh sb="14" eb="16">
      <t>セタイ</t>
    </rPh>
    <rPh sb="17" eb="18">
      <t>フク</t>
    </rPh>
    <rPh sb="21" eb="23">
      <t>バアイ</t>
    </rPh>
    <rPh sb="25" eb="27">
      <t>セイカク</t>
    </rPh>
    <rPh sb="28" eb="31">
      <t>ホケンリョウ</t>
    </rPh>
    <rPh sb="31" eb="32">
      <t>ガク</t>
    </rPh>
    <rPh sb="33" eb="35">
      <t>ケイサン</t>
    </rPh>
    <phoneticPr fontId="2"/>
  </si>
  <si>
    <t>加入する</t>
    <rPh sb="0" eb="2">
      <t>カニュウ</t>
    </rPh>
    <phoneticPr fontId="2"/>
  </si>
  <si>
    <t>↑試算シートリスト</t>
    <rPh sb="1" eb="3">
      <t>シサン</t>
    </rPh>
    <phoneticPr fontId="2"/>
  </si>
  <si>
    <t>国民健康保険に加入する場合には「加入する」、加入しない場合には「加入しない」を選択してください。</t>
    <rPh sb="0" eb="2">
      <t>コクミン</t>
    </rPh>
    <rPh sb="2" eb="4">
      <t>ケンコウ</t>
    </rPh>
    <rPh sb="4" eb="6">
      <t>ホケン</t>
    </rPh>
    <rPh sb="7" eb="9">
      <t>カニュウ</t>
    </rPh>
    <rPh sb="11" eb="13">
      <t>バアイ</t>
    </rPh>
    <rPh sb="16" eb="18">
      <t>カニュウ</t>
    </rPh>
    <rPh sb="22" eb="24">
      <t>カニュウ</t>
    </rPh>
    <rPh sb="27" eb="29">
      <t>バアイ</t>
    </rPh>
    <rPh sb="32" eb="34">
      <t>カニュウ</t>
    </rPh>
    <rPh sb="39" eb="41">
      <t>センタク</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</si>
</sst>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_ ;[Red]\-#,##0\ "/>
    <numFmt numFmtId="177" formatCode="0_);[Red]\(0\)"/>
    <numFmt numFmtId="178" formatCode="0.0000_);[Red]\(0.0000\)"/>
    <numFmt numFmtId="179" formatCode="0.00_);[Red]\(0.00\)"/>
    <numFmt numFmtId="180" formatCode="#,##0_);[Red]\(#,##0\)"/>
    <numFmt numFmtId="181" formatCode="#,##0_ "/>
    <numFmt numFmtId="182" formatCode="#,##0;&quot;▲ &quot;#,##0"/>
    <numFmt numFmtId="183" formatCode="0.00_ "/>
  </numFmts>
  <fonts count="55" x14ac:knownFonts="1">
    <font>
      <sz val="11"/>
      <name val="ＭＳ Ｐゴシック"/>
      <family val="3"/>
      <charset val="128"/>
    </font>
    <font>
      <sz val="11"/>
      <name val="ＭＳ Ｐゴシック"/>
      <family val="3"/>
      <charset val="128"/>
    </font>
    <font>
      <sz val="6"/>
      <name val="ＭＳ Ｐゴシック"/>
      <family val="3"/>
      <charset val="128"/>
    </font>
    <font>
      <sz val="9"/>
      <color indexed="10"/>
      <name val="ＭＳ Ｐゴシック"/>
      <family val="3"/>
      <charset val="128"/>
    </font>
    <font>
      <sz val="11"/>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sz val="8"/>
      <name val="ＭＳ Ｐゴシック"/>
      <family val="3"/>
      <charset val="128"/>
    </font>
    <font>
      <sz val="10"/>
      <color indexed="53"/>
      <name val="ＭＳ Ｐゴシック"/>
      <family val="3"/>
      <charset val="128"/>
    </font>
    <font>
      <b/>
      <sz val="14"/>
      <color indexed="12"/>
      <name val="ＭＳ Ｐゴシック"/>
      <family val="3"/>
      <charset val="128"/>
    </font>
    <font>
      <b/>
      <sz val="10"/>
      <name val="ＭＳ Ｐゴシック"/>
      <family val="3"/>
      <charset val="128"/>
    </font>
    <font>
      <sz val="10"/>
      <color indexed="10"/>
      <name val="ＭＳ Ｐゴシック"/>
      <family val="3"/>
      <charset val="128"/>
    </font>
    <font>
      <vertAlign val="subscript"/>
      <sz val="10"/>
      <name val="ＭＳ Ｐゴシック"/>
      <family val="3"/>
      <charset val="128"/>
    </font>
    <font>
      <vertAlign val="superscript"/>
      <sz val="10"/>
      <name val="ＭＳ Ｐゴシック"/>
      <family val="3"/>
      <charset val="128"/>
    </font>
    <font>
      <b/>
      <sz val="14"/>
      <name val="ＭＳ Ｐゴシック"/>
      <family val="3"/>
      <charset val="128"/>
    </font>
    <font>
      <b/>
      <sz val="10"/>
      <color indexed="10"/>
      <name val="ＭＳ Ｐゴシック"/>
      <family val="3"/>
      <charset val="128"/>
    </font>
    <font>
      <sz val="10"/>
      <color indexed="12"/>
      <name val="ＭＳ Ｐゴシック"/>
      <family val="3"/>
      <charset val="128"/>
    </font>
    <font>
      <b/>
      <sz val="10"/>
      <color indexed="12"/>
      <name val="ＭＳ Ｐゴシック"/>
      <family val="3"/>
      <charset val="128"/>
    </font>
    <font>
      <b/>
      <sz val="11"/>
      <color indexed="12"/>
      <name val="ＭＳ Ｐゴシック"/>
      <family val="3"/>
      <charset val="128"/>
    </font>
    <font>
      <sz val="12"/>
      <name val="HGS創英角ｺﾞｼｯｸUB"/>
      <family val="3"/>
      <charset val="128"/>
    </font>
    <font>
      <sz val="12"/>
      <name val="HGｺﾞｼｯｸE"/>
      <family val="3"/>
      <charset val="128"/>
    </font>
    <font>
      <sz val="9"/>
      <name val="ＭＳ Ｐ明朝"/>
      <family val="1"/>
      <charset val="128"/>
    </font>
    <font>
      <b/>
      <sz val="10"/>
      <color indexed="53"/>
      <name val="ＭＳ Ｐゴシック"/>
      <family val="3"/>
      <charset val="128"/>
    </font>
    <font>
      <b/>
      <sz val="9"/>
      <color indexed="12"/>
      <name val="ＭＳ Ｐゴシック"/>
      <family val="3"/>
      <charset val="128"/>
    </font>
    <font>
      <b/>
      <i/>
      <u/>
      <sz val="12"/>
      <name val="ＭＳ Ｐゴシック"/>
      <family val="3"/>
      <charset val="128"/>
    </font>
    <font>
      <sz val="10"/>
      <color indexed="48"/>
      <name val="ＭＳ Ｐゴシック"/>
      <family val="3"/>
      <charset val="128"/>
    </font>
    <font>
      <sz val="11"/>
      <color indexed="48"/>
      <name val="ＭＳ Ｐゴシック"/>
      <family val="3"/>
      <charset val="128"/>
    </font>
    <font>
      <b/>
      <i/>
      <u/>
      <sz val="20"/>
      <name val="ＭＳ Ｐゴシック"/>
      <family val="3"/>
      <charset val="128"/>
    </font>
    <font>
      <b/>
      <sz val="9"/>
      <color indexed="81"/>
      <name val="ＭＳ Ｐゴシック"/>
      <family val="3"/>
      <charset val="128"/>
    </font>
    <font>
      <b/>
      <i/>
      <u/>
      <sz val="16"/>
      <name val="ＭＳ Ｐゴシック"/>
      <family val="3"/>
      <charset val="128"/>
    </font>
    <font>
      <sz val="6"/>
      <name val="ＭＳ Ｐゴシック"/>
      <family val="3"/>
    </font>
    <font>
      <sz val="6"/>
      <name val="ＭＳ Ｐゴシック"/>
      <family val="2"/>
      <charset val="128"/>
      <scheme val="minor"/>
    </font>
    <font>
      <sz val="10"/>
      <color theme="1"/>
      <name val="メイリオ"/>
      <family val="3"/>
      <charset val="128"/>
    </font>
    <font>
      <sz val="10"/>
      <name val="メイリオ"/>
      <family val="3"/>
      <charset val="128"/>
    </font>
    <font>
      <b/>
      <sz val="14"/>
      <color theme="0"/>
      <name val="BIZ UDPゴシック"/>
      <family val="3"/>
      <charset val="128"/>
    </font>
    <font>
      <sz val="9"/>
      <color rgb="FFFF0000"/>
      <name val="メイリオ"/>
      <family val="3"/>
      <charset val="128"/>
    </font>
    <font>
      <sz val="11"/>
      <name val="メイリオ"/>
      <family val="3"/>
      <charset val="128"/>
    </font>
    <font>
      <b/>
      <sz val="12"/>
      <name val="メイリオ"/>
      <family val="3"/>
      <charset val="128"/>
    </font>
    <font>
      <sz val="16"/>
      <name val="メイリオ"/>
      <family val="3"/>
      <charset val="128"/>
    </font>
    <font>
      <b/>
      <sz val="14"/>
      <name val="メイリオ"/>
      <family val="3"/>
      <charset val="128"/>
    </font>
    <font>
      <b/>
      <sz val="14"/>
      <color indexed="12"/>
      <name val="メイリオ"/>
      <family val="3"/>
      <charset val="128"/>
    </font>
    <font>
      <sz val="9"/>
      <name val="メイリオ"/>
      <family val="3"/>
      <charset val="128"/>
    </font>
    <font>
      <sz val="11"/>
      <color theme="1"/>
      <name val="メイリオ"/>
      <family val="3"/>
      <charset val="128"/>
    </font>
    <font>
      <b/>
      <sz val="12"/>
      <color indexed="12"/>
      <name val="メイリオ"/>
      <family val="3"/>
      <charset val="128"/>
    </font>
    <font>
      <b/>
      <sz val="10"/>
      <color indexed="12"/>
      <name val="メイリオ"/>
      <family val="3"/>
      <charset val="128"/>
    </font>
    <font>
      <sz val="8"/>
      <name val="メイリオ"/>
      <family val="3"/>
      <charset val="128"/>
    </font>
    <font>
      <b/>
      <sz val="11"/>
      <name val="メイリオ"/>
      <family val="3"/>
      <charset val="128"/>
    </font>
    <font>
      <sz val="8"/>
      <color indexed="12"/>
      <name val="メイリオ"/>
      <family val="3"/>
      <charset val="128"/>
    </font>
    <font>
      <b/>
      <sz val="9"/>
      <color indexed="12"/>
      <name val="メイリオ"/>
      <family val="3"/>
      <charset val="128"/>
    </font>
    <font>
      <sz val="6"/>
      <color indexed="12"/>
      <name val="メイリオ"/>
      <family val="3"/>
      <charset val="128"/>
    </font>
    <font>
      <b/>
      <sz val="11"/>
      <color indexed="12"/>
      <name val="メイリオ"/>
      <family val="3"/>
      <charset val="128"/>
    </font>
    <font>
      <b/>
      <sz val="11"/>
      <color indexed="10"/>
      <name val="メイリオ"/>
      <family val="3"/>
      <charset val="128"/>
    </font>
    <font>
      <b/>
      <sz val="10"/>
      <color theme="1"/>
      <name val="メイリオ"/>
      <family val="3"/>
      <charset val="128"/>
    </font>
    <font>
      <b/>
      <sz val="10"/>
      <name val="メイリオ"/>
      <family val="3"/>
      <charset val="128"/>
    </font>
  </fonts>
  <fills count="11">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rgb="FFFFFF00"/>
        <bgColor indexed="64"/>
      </patternFill>
    </fill>
    <fill>
      <patternFill patternType="solid">
        <fgColor indexed="9"/>
        <bgColor indexed="64"/>
      </patternFill>
    </fill>
    <fill>
      <patternFill patternType="solid">
        <fgColor rgb="FF0070C0"/>
        <bgColor indexed="64"/>
      </patternFill>
    </fill>
    <fill>
      <patternFill patternType="solid">
        <fgColor rgb="FF00CC66"/>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8" tint="0.79998168889431442"/>
        <bgColor indexed="64"/>
      </patternFill>
    </fill>
  </fills>
  <borders count="99">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style="double">
        <color indexed="64"/>
      </top>
      <bottom/>
      <diagonal/>
    </border>
    <border>
      <left/>
      <right style="double">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slantDashDot">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diagonalDown="1">
      <left/>
      <right style="thin">
        <color indexed="64"/>
      </right>
      <top style="thin">
        <color indexed="64"/>
      </top>
      <bottom style="thick">
        <color indexed="64"/>
      </bottom>
      <diagonal style="thin">
        <color indexed="64"/>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diagonalDown="1">
      <left style="thin">
        <color indexed="64"/>
      </left>
      <right style="thin">
        <color indexed="64"/>
      </right>
      <top style="thin">
        <color indexed="64"/>
      </top>
      <bottom style="thick">
        <color indexed="64"/>
      </bottom>
      <diagonal style="thin">
        <color indexed="64"/>
      </diagonal>
    </border>
    <border diagonalDown="1">
      <left/>
      <right/>
      <top style="thin">
        <color indexed="64"/>
      </top>
      <bottom style="thick">
        <color indexed="64"/>
      </bottom>
      <diagonal style="thin">
        <color indexed="64"/>
      </diagonal>
    </border>
    <border>
      <left style="thick">
        <color indexed="64"/>
      </left>
      <right/>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s>
  <cellStyleXfs count="3">
    <xf numFmtId="0" fontId="0" fillId="0" borderId="0"/>
    <xf numFmtId="38" fontId="1" fillId="0" borderId="0" applyFont="0" applyFill="0" applyBorder="0" applyAlignment="0" applyProtection="0"/>
    <xf numFmtId="6" fontId="1" fillId="0" borderId="0" applyFont="0" applyFill="0" applyBorder="0" applyAlignment="0" applyProtection="0"/>
  </cellStyleXfs>
  <cellXfs count="608">
    <xf numFmtId="0" fontId="0" fillId="0" borderId="0" xfId="0"/>
    <xf numFmtId="0" fontId="4" fillId="0" borderId="0" xfId="0" applyFont="1"/>
    <xf numFmtId="176" fontId="4" fillId="0" borderId="0" xfId="1" applyNumberFormat="1" applyFont="1" applyAlignment="1">
      <alignment vertical="center"/>
    </xf>
    <xf numFmtId="0" fontId="4" fillId="0" borderId="0" xfId="0" applyFont="1" applyBorder="1" applyAlignment="1">
      <alignment vertical="center"/>
    </xf>
    <xf numFmtId="0" fontId="7" fillId="0" borderId="0" xfId="0" applyFont="1"/>
    <xf numFmtId="38" fontId="7" fillId="0" borderId="0" xfId="0" applyNumberFormat="1" applyFont="1" applyAlignment="1">
      <alignment horizontal="center"/>
    </xf>
    <xf numFmtId="0" fontId="7" fillId="0" borderId="3" xfId="0" applyFont="1" applyBorder="1"/>
    <xf numFmtId="0" fontId="7" fillId="0" borderId="0" xfId="0" applyFont="1" applyFill="1" applyBorder="1" applyAlignment="1">
      <alignment horizontal="center"/>
    </xf>
    <xf numFmtId="0" fontId="7" fillId="0" borderId="0" xfId="0" applyFont="1" applyFill="1" applyBorder="1"/>
    <xf numFmtId="38" fontId="7" fillId="0" borderId="0" xfId="0" applyNumberFormat="1" applyFont="1" applyFill="1" applyBorder="1" applyAlignment="1">
      <alignment horizontal="center"/>
    </xf>
    <xf numFmtId="38" fontId="5" fillId="0" borderId="0" xfId="0" applyNumberFormat="1" applyFont="1" applyFill="1" applyBorder="1" applyAlignment="1"/>
    <xf numFmtId="0" fontId="4" fillId="0" borderId="0" xfId="0" applyFont="1" applyBorder="1"/>
    <xf numFmtId="0" fontId="4" fillId="0" borderId="0" xfId="0" applyFont="1" applyBorder="1" applyAlignment="1">
      <alignment horizontal="center"/>
    </xf>
    <xf numFmtId="58" fontId="4" fillId="0" borderId="0" xfId="0" applyNumberFormat="1" applyFont="1" applyBorder="1" applyAlignment="1">
      <alignment horizontal="right" vertical="center"/>
    </xf>
    <xf numFmtId="38" fontId="5" fillId="0" borderId="0" xfId="1" applyFont="1" applyBorder="1" applyAlignment="1">
      <alignment horizontal="center" vertical="center" shrinkToFit="1"/>
    </xf>
    <xf numFmtId="38" fontId="4" fillId="0" borderId="0" xfId="1" applyFont="1" applyFill="1" applyBorder="1" applyAlignment="1" applyProtection="1">
      <alignment vertical="center"/>
      <protection locked="0"/>
    </xf>
    <xf numFmtId="58" fontId="4" fillId="0" borderId="0" xfId="0" applyNumberFormat="1" applyFont="1" applyBorder="1" applyAlignment="1">
      <alignment vertical="center"/>
    </xf>
    <xf numFmtId="178" fontId="4" fillId="0" borderId="0" xfId="0" applyNumberFormat="1" applyFont="1" applyBorder="1" applyAlignment="1">
      <alignment vertical="center"/>
    </xf>
    <xf numFmtId="0" fontId="0" fillId="0" borderId="0" xfId="0" applyBorder="1"/>
    <xf numFmtId="0" fontId="0" fillId="0" borderId="0" xfId="0" applyBorder="1" applyAlignment="1"/>
    <xf numFmtId="179" fontId="4" fillId="0" borderId="0" xfId="1" applyNumberFormat="1" applyFont="1" applyFill="1" applyBorder="1" applyAlignment="1" applyProtection="1">
      <alignment vertical="center"/>
      <protection locked="0"/>
    </xf>
    <xf numFmtId="49" fontId="4" fillId="0" borderId="0" xfId="1" applyNumberFormat="1" applyFont="1" applyFill="1" applyBorder="1" applyAlignment="1">
      <alignment horizontal="center" vertical="center"/>
    </xf>
    <xf numFmtId="182" fontId="4" fillId="0" borderId="0" xfId="0" applyNumberFormat="1" applyFont="1" applyFill="1" applyBorder="1" applyAlignment="1">
      <alignment horizontal="center" vertical="center" shrinkToFit="1"/>
    </xf>
    <xf numFmtId="0" fontId="0" fillId="0" borderId="0" xfId="0" applyFill="1" applyBorder="1"/>
    <xf numFmtId="38" fontId="7" fillId="0" borderId="0" xfId="1" applyFont="1" applyFill="1" applyBorder="1" applyAlignment="1">
      <alignment horizontal="center"/>
    </xf>
    <xf numFmtId="0" fontId="4" fillId="0" borderId="0" xfId="0" applyFont="1" applyFill="1" applyBorder="1" applyAlignment="1">
      <alignment horizontal="center"/>
    </xf>
    <xf numFmtId="38" fontId="17" fillId="0" borderId="0" xfId="1" applyFont="1" applyFill="1" applyBorder="1" applyAlignment="1">
      <alignment horizontal="right"/>
    </xf>
    <xf numFmtId="0" fontId="0" fillId="0" borderId="0" xfId="0" applyFill="1"/>
    <xf numFmtId="0" fontId="17" fillId="0" borderId="0" xfId="0" applyFont="1" applyFill="1" applyBorder="1"/>
    <xf numFmtId="0" fontId="16" fillId="0" borderId="0" xfId="0" applyFont="1" applyFill="1" applyBorder="1"/>
    <xf numFmtId="0" fontId="7" fillId="0" borderId="0" xfId="0" applyFont="1" applyFill="1" applyBorder="1" applyAlignment="1"/>
    <xf numFmtId="0" fontId="18" fillId="0" borderId="0" xfId="0" applyFont="1" applyFill="1" applyBorder="1" applyAlignment="1">
      <alignment horizontal="right"/>
    </xf>
    <xf numFmtId="0" fontId="6" fillId="0" borderId="0" xfId="0" applyFont="1" applyFill="1" applyBorder="1" applyAlignment="1">
      <alignment horizontal="center" vertical="center"/>
    </xf>
    <xf numFmtId="0" fontId="5" fillId="0" borderId="0" xfId="0" applyFont="1" applyFill="1" applyBorder="1" applyAlignment="1"/>
    <xf numFmtId="0" fontId="0" fillId="0" borderId="0" xfId="0" applyFill="1" applyBorder="1" applyAlignment="1"/>
    <xf numFmtId="6" fontId="4" fillId="0" borderId="0" xfId="2" applyFont="1" applyBorder="1" applyAlignment="1">
      <alignment horizontal="center" vertical="center" shrinkToFit="1"/>
    </xf>
    <xf numFmtId="0" fontId="4" fillId="0" borderId="0" xfId="0" applyFont="1" applyBorder="1" applyAlignment="1">
      <alignment horizontal="center" vertical="center" shrinkToFit="1"/>
    </xf>
    <xf numFmtId="38" fontId="7" fillId="0" borderId="0" xfId="1" applyFont="1" applyAlignment="1"/>
    <xf numFmtId="0" fontId="7" fillId="0" borderId="0" xfId="0" applyFont="1" applyFill="1" applyBorder="1" applyAlignment="1">
      <alignment horizontal="right"/>
    </xf>
    <xf numFmtId="178" fontId="22" fillId="0" borderId="0" xfId="0" applyNumberFormat="1" applyFont="1" applyFill="1" applyBorder="1" applyAlignment="1">
      <alignment vertical="center"/>
    </xf>
    <xf numFmtId="0" fontId="4" fillId="0" borderId="0" xfId="0" applyFont="1" applyFill="1" applyBorder="1"/>
    <xf numFmtId="0" fontId="9" fillId="0" borderId="0" xfId="0" applyFont="1" applyFill="1" applyBorder="1" applyAlignment="1"/>
    <xf numFmtId="0" fontId="10"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xf numFmtId="0" fontId="7" fillId="0" borderId="0" xfId="0" applyFont="1" applyFill="1" applyBorder="1" applyAlignment="1">
      <alignment horizontal="center" vertical="center"/>
    </xf>
    <xf numFmtId="0" fontId="18" fillId="0" borderId="0" xfId="0" applyFont="1" applyFill="1" applyBorder="1" applyAlignment="1">
      <alignment horizontal="center" vertical="center"/>
    </xf>
    <xf numFmtId="38" fontId="12" fillId="0" borderId="0" xfId="1" applyFont="1" applyFill="1" applyBorder="1" applyAlignment="1">
      <alignment horizontal="righ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0" fillId="0" borderId="12" xfId="0" applyFill="1" applyBorder="1"/>
    <xf numFmtId="0" fontId="0" fillId="0" borderId="13" xfId="0" applyFill="1" applyBorder="1" applyAlignment="1">
      <alignment horizontal="right"/>
    </xf>
    <xf numFmtId="0" fontId="0" fillId="0" borderId="14" xfId="0" applyFill="1" applyBorder="1"/>
    <xf numFmtId="0" fontId="0" fillId="0" borderId="15" xfId="0" applyFill="1" applyBorder="1" applyAlignment="1">
      <alignment horizontal="right"/>
    </xf>
    <xf numFmtId="0" fontId="7" fillId="0" borderId="2" xfId="0" applyFont="1" applyFill="1" applyBorder="1"/>
    <xf numFmtId="38" fontId="4" fillId="0" borderId="0" xfId="0" applyNumberFormat="1" applyFont="1" applyFill="1" applyBorder="1" applyAlignment="1">
      <alignment horizontal="right"/>
    </xf>
    <xf numFmtId="38" fontId="7" fillId="0" borderId="0" xfId="0" applyNumberFormat="1" applyFont="1" applyFill="1" applyBorder="1" applyAlignment="1">
      <alignment horizontal="right"/>
    </xf>
    <xf numFmtId="0" fontId="7" fillId="0" borderId="3" xfId="0" applyFont="1" applyFill="1" applyBorder="1"/>
    <xf numFmtId="38" fontId="7" fillId="0" borderId="2" xfId="0" applyNumberFormat="1" applyFont="1" applyFill="1" applyBorder="1" applyAlignment="1">
      <alignment horizontal="right"/>
    </xf>
    <xf numFmtId="38" fontId="7" fillId="0" borderId="12" xfId="1" applyFont="1" applyFill="1" applyBorder="1" applyAlignment="1">
      <alignment horizontal="center"/>
    </xf>
    <xf numFmtId="38" fontId="5" fillId="0" borderId="0" xfId="1" applyFont="1" applyFill="1" applyBorder="1" applyAlignment="1"/>
    <xf numFmtId="38" fontId="5" fillId="0" borderId="0" xfId="1" applyFont="1" applyFill="1" applyBorder="1" applyAlignment="1">
      <alignment horizontal="center"/>
    </xf>
    <xf numFmtId="38" fontId="7" fillId="0" borderId="16" xfId="1" applyFont="1" applyFill="1" applyBorder="1" applyAlignment="1">
      <alignment horizontal="center"/>
    </xf>
    <xf numFmtId="38" fontId="5" fillId="0" borderId="0" xfId="1" applyFont="1" applyFill="1" applyBorder="1"/>
    <xf numFmtId="38" fontId="7" fillId="0" borderId="0" xfId="1" applyFont="1" applyFill="1" applyBorder="1"/>
    <xf numFmtId="38" fontId="5" fillId="0" borderId="0" xfId="1" applyFont="1" applyFill="1" applyBorder="1" applyAlignment="1">
      <alignment horizontal="right"/>
    </xf>
    <xf numFmtId="0" fontId="21" fillId="0" borderId="0" xfId="0" applyFont="1" applyFill="1" applyBorder="1" applyAlignment="1"/>
    <xf numFmtId="0" fontId="12" fillId="0" borderId="0" xfId="0" applyFont="1" applyFill="1" applyBorder="1" applyAlignment="1"/>
    <xf numFmtId="0" fontId="18" fillId="0" borderId="0" xfId="0" applyFont="1" applyFill="1" applyBorder="1" applyAlignment="1"/>
    <xf numFmtId="0" fontId="21" fillId="0" borderId="0" xfId="0" applyFont="1" applyFill="1" applyBorder="1"/>
    <xf numFmtId="0" fontId="11" fillId="0" borderId="0" xfId="0" applyFont="1" applyFill="1" applyBorder="1"/>
    <xf numFmtId="183" fontId="7" fillId="0" borderId="0" xfId="0" applyNumberFormat="1" applyFont="1" applyFill="1" applyBorder="1" applyAlignment="1">
      <alignment horizontal="center"/>
    </xf>
    <xf numFmtId="0" fontId="9" fillId="0" borderId="0" xfId="0" applyFont="1" applyFill="1" applyBorder="1" applyAlignment="1">
      <alignment horizontal="center"/>
    </xf>
    <xf numFmtId="0" fontId="23" fillId="0" borderId="0" xfId="0" applyFont="1" applyFill="1" applyBorder="1"/>
    <xf numFmtId="0" fontId="23" fillId="0" borderId="0" xfId="0" applyFont="1" applyFill="1" applyBorder="1" applyAlignment="1"/>
    <xf numFmtId="0" fontId="23" fillId="0" borderId="0" xfId="0" applyFont="1" applyFill="1" applyBorder="1" applyAlignment="1">
      <alignment horizontal="right"/>
    </xf>
    <xf numFmtId="0" fontId="7" fillId="0" borderId="0" xfId="0" applyFont="1" applyFill="1" applyBorder="1" applyAlignment="1">
      <alignment horizontal="center" vertical="top"/>
    </xf>
    <xf numFmtId="0" fontId="6" fillId="0" borderId="0" xfId="0" applyFont="1" applyFill="1" applyBorder="1"/>
    <xf numFmtId="0" fontId="13" fillId="0" borderId="0" xfId="0" applyFont="1" applyFill="1" applyBorder="1" applyAlignment="1">
      <alignment horizontal="right"/>
    </xf>
    <xf numFmtId="0" fontId="13" fillId="0" borderId="0" xfId="0" applyFont="1" applyFill="1" applyBorder="1"/>
    <xf numFmtId="0" fontId="14" fillId="0" borderId="0" xfId="0" applyFont="1" applyFill="1" applyBorder="1" applyAlignment="1">
      <alignment horizontal="right" vertical="top"/>
    </xf>
    <xf numFmtId="0" fontId="0" fillId="0" borderId="17" xfId="0" applyFill="1" applyBorder="1"/>
    <xf numFmtId="0" fontId="15" fillId="0" borderId="18" xfId="0" applyFont="1" applyFill="1" applyBorder="1" applyAlignment="1">
      <alignment horizontal="center" vertical="center"/>
    </xf>
    <xf numFmtId="0" fontId="0" fillId="0" borderId="18" xfId="0" applyFill="1" applyBorder="1"/>
    <xf numFmtId="0" fontId="0" fillId="0" borderId="19" xfId="0" applyFill="1" applyBorder="1"/>
    <xf numFmtId="0" fontId="0" fillId="0" borderId="20" xfId="0" applyFill="1" applyBorder="1"/>
    <xf numFmtId="0" fontId="0" fillId="0" borderId="21" xfId="0" applyFill="1" applyBorder="1"/>
    <xf numFmtId="0" fontId="7" fillId="0" borderId="20" xfId="0" applyFont="1" applyFill="1" applyBorder="1"/>
    <xf numFmtId="0" fontId="8" fillId="0" borderId="21" xfId="0" applyFont="1" applyFill="1" applyBorder="1"/>
    <xf numFmtId="38" fontId="7" fillId="0" borderId="20" xfId="1" applyFont="1" applyFill="1" applyBorder="1" applyAlignment="1">
      <alignment horizontal="center" vertical="center" shrinkToFit="1"/>
    </xf>
    <xf numFmtId="38" fontId="7" fillId="0" borderId="20" xfId="1" applyFont="1" applyFill="1" applyBorder="1" applyAlignment="1" applyProtection="1">
      <alignment vertical="center"/>
      <protection locked="0"/>
    </xf>
    <xf numFmtId="0" fontId="0" fillId="0" borderId="22" xfId="0" applyFill="1" applyBorder="1"/>
    <xf numFmtId="0" fontId="0" fillId="0" borderId="23" xfId="0" applyFill="1" applyBorder="1"/>
    <xf numFmtId="0" fontId="0" fillId="0" borderId="24" xfId="0" applyFill="1" applyBorder="1"/>
    <xf numFmtId="0" fontId="15" fillId="0" borderId="0" xfId="0" applyFont="1" applyFill="1" applyAlignment="1">
      <alignment horizontal="center" vertical="center"/>
    </xf>
    <xf numFmtId="0" fontId="7" fillId="0" borderId="0" xfId="0" applyFont="1" applyBorder="1"/>
    <xf numFmtId="182" fontId="7" fillId="0" borderId="3" xfId="0" applyNumberFormat="1" applyFont="1" applyBorder="1"/>
    <xf numFmtId="0" fontId="0" fillId="0" borderId="0" xfId="0" applyFill="1" applyBorder="1" applyAlignment="1">
      <alignment horizontal="center" vertical="center"/>
    </xf>
    <xf numFmtId="0" fontId="0" fillId="0" borderId="0" xfId="0" applyFill="1" applyBorder="1" applyAlignment="1">
      <alignment horizontal="right"/>
    </xf>
    <xf numFmtId="38" fontId="7" fillId="0" borderId="0" xfId="0" applyNumberFormat="1" applyFont="1" applyFill="1" applyBorder="1" applyAlignment="1" applyProtection="1">
      <alignment horizontal="center"/>
      <protection locked="0"/>
    </xf>
    <xf numFmtId="38" fontId="7" fillId="0" borderId="0" xfId="0" applyNumberFormat="1" applyFont="1" applyFill="1" applyBorder="1" applyAlignment="1"/>
    <xf numFmtId="0" fontId="4" fillId="0" borderId="0" xfId="0" applyFont="1" applyFill="1" applyBorder="1" applyAlignment="1"/>
    <xf numFmtId="0" fontId="18" fillId="0" borderId="0" xfId="0" applyFont="1" applyFill="1" applyBorder="1" applyAlignment="1">
      <alignment vertical="center"/>
    </xf>
    <xf numFmtId="0" fontId="0" fillId="0" borderId="25" xfId="0" applyFill="1" applyBorder="1"/>
    <xf numFmtId="0" fontId="0" fillId="0" borderId="26" xfId="0" applyFill="1" applyBorder="1"/>
    <xf numFmtId="0" fontId="0" fillId="0" borderId="16" xfId="0" applyFill="1" applyBorder="1"/>
    <xf numFmtId="0" fontId="0" fillId="0" borderId="27" xfId="0" applyFill="1" applyBorder="1"/>
    <xf numFmtId="0" fontId="7" fillId="0" borderId="12" xfId="0" applyFont="1" applyFill="1" applyBorder="1" applyAlignment="1">
      <alignment horizontal="center" vertical="center"/>
    </xf>
    <xf numFmtId="0" fontId="18" fillId="0" borderId="12" xfId="0" applyFont="1" applyFill="1" applyBorder="1" applyAlignment="1">
      <alignment vertical="center"/>
    </xf>
    <xf numFmtId="0" fontId="0" fillId="0" borderId="13" xfId="0" applyFill="1" applyBorder="1"/>
    <xf numFmtId="0" fontId="24" fillId="0" borderId="8" xfId="0" applyFont="1" applyFill="1" applyBorder="1"/>
    <xf numFmtId="0" fontId="18" fillId="0" borderId="8" xfId="0" applyFont="1" applyFill="1" applyBorder="1"/>
    <xf numFmtId="0" fontId="5" fillId="0" borderId="12" xfId="0" applyFont="1" applyFill="1" applyBorder="1"/>
    <xf numFmtId="0" fontId="0" fillId="0" borderId="28" xfId="0" applyBorder="1" applyAlignment="1">
      <alignment horizontal="center"/>
    </xf>
    <xf numFmtId="0" fontId="0" fillId="0" borderId="28" xfId="0" applyBorder="1"/>
    <xf numFmtId="0" fontId="7" fillId="0" borderId="28" xfId="0" applyFont="1" applyBorder="1"/>
    <xf numFmtId="0" fontId="0" fillId="0" borderId="20" xfId="0" applyBorder="1"/>
    <xf numFmtId="0" fontId="15" fillId="0" borderId="0" xfId="0" applyFont="1" applyFill="1" applyBorder="1" applyAlignment="1">
      <alignment horizontal="center" vertical="center"/>
    </xf>
    <xf numFmtId="0" fontId="7" fillId="0" borderId="12" xfId="0" applyFont="1" applyFill="1" applyBorder="1"/>
    <xf numFmtId="0" fontId="7" fillId="0" borderId="29" xfId="0" applyFont="1" applyFill="1" applyBorder="1"/>
    <xf numFmtId="0" fontId="7" fillId="0" borderId="5" xfId="0" applyFont="1" applyFill="1" applyBorder="1"/>
    <xf numFmtId="0" fontId="7" fillId="0" borderId="30" xfId="0" applyFont="1" applyFill="1" applyBorder="1"/>
    <xf numFmtId="0" fontId="7" fillId="0" borderId="31" xfId="0" applyFont="1" applyFill="1" applyBorder="1"/>
    <xf numFmtId="0" fontId="7" fillId="0" borderId="32" xfId="0" applyFont="1" applyFill="1" applyBorder="1"/>
    <xf numFmtId="0" fontId="26" fillId="0" borderId="0" xfId="0" applyFont="1" applyFill="1" applyBorder="1" applyAlignment="1">
      <alignment horizontal="right"/>
    </xf>
    <xf numFmtId="0" fontId="27" fillId="0" borderId="12" xfId="0" applyFont="1" applyFill="1" applyBorder="1"/>
    <xf numFmtId="0" fontId="0" fillId="0" borderId="0" xfId="0" applyAlignment="1"/>
    <xf numFmtId="0" fontId="7" fillId="0" borderId="72" xfId="0" applyFont="1" applyFill="1" applyBorder="1"/>
    <xf numFmtId="0" fontId="7" fillId="0" borderId="73" xfId="0" applyFont="1" applyFill="1" applyBorder="1"/>
    <xf numFmtId="0" fontId="7" fillId="0" borderId="74" xfId="0" applyFont="1" applyFill="1" applyBorder="1"/>
    <xf numFmtId="0" fontId="33" fillId="0" borderId="0" xfId="0" applyFont="1" applyAlignment="1">
      <alignment vertical="center"/>
    </xf>
    <xf numFmtId="0" fontId="33" fillId="0" borderId="0" xfId="0" applyFont="1" applyBorder="1" applyAlignment="1">
      <alignment vertical="center"/>
    </xf>
    <xf numFmtId="0" fontId="34" fillId="0" borderId="0" xfId="0" applyFont="1" applyBorder="1" applyAlignment="1">
      <alignment vertical="center"/>
    </xf>
    <xf numFmtId="0" fontId="33" fillId="6" borderId="0" xfId="0" applyFont="1" applyFill="1" applyAlignment="1">
      <alignment vertical="center"/>
    </xf>
    <xf numFmtId="0" fontId="37" fillId="0" borderId="0" xfId="0" applyFont="1" applyAlignment="1">
      <alignment vertical="center"/>
    </xf>
    <xf numFmtId="0" fontId="47" fillId="0" borderId="0" xfId="0" applyFont="1" applyAlignment="1">
      <alignment vertical="center"/>
    </xf>
    <xf numFmtId="0" fontId="37" fillId="0" borderId="0" xfId="0" applyFont="1" applyBorder="1" applyAlignment="1">
      <alignment vertical="center"/>
    </xf>
    <xf numFmtId="0" fontId="37" fillId="0" borderId="0" xfId="0" applyFont="1" applyAlignment="1">
      <alignment vertical="top"/>
    </xf>
    <xf numFmtId="0" fontId="33" fillId="7" borderId="0" xfId="0" applyFont="1" applyFill="1" applyAlignment="1">
      <alignment vertical="top"/>
    </xf>
    <xf numFmtId="0" fontId="33" fillId="0" borderId="0" xfId="0" applyFont="1" applyAlignment="1">
      <alignment vertical="top"/>
    </xf>
    <xf numFmtId="0" fontId="33" fillId="0" borderId="0" xfId="0" applyFont="1" applyAlignment="1">
      <alignment horizontal="center" vertical="top"/>
    </xf>
    <xf numFmtId="0" fontId="43" fillId="5" borderId="0" xfId="0" applyFont="1" applyFill="1" applyAlignment="1">
      <alignment vertical="top"/>
    </xf>
    <xf numFmtId="0" fontId="37" fillId="5" borderId="0" xfId="0" applyFont="1" applyFill="1" applyAlignment="1">
      <alignment vertical="top"/>
    </xf>
    <xf numFmtId="0" fontId="44" fillId="0" borderId="0" xfId="0" applyFont="1" applyBorder="1" applyAlignment="1">
      <alignment horizontal="center" vertical="top"/>
    </xf>
    <xf numFmtId="0" fontId="45" fillId="0" borderId="0" xfId="0" applyFont="1" applyBorder="1" applyAlignment="1">
      <alignment vertical="top"/>
    </xf>
    <xf numFmtId="0" fontId="46" fillId="0" borderId="0" xfId="0" applyFont="1" applyAlignment="1">
      <alignment vertical="top"/>
    </xf>
    <xf numFmtId="0" fontId="37" fillId="5" borderId="0" xfId="0" applyFont="1" applyFill="1" applyAlignment="1">
      <alignment horizontal="right" vertical="top"/>
    </xf>
    <xf numFmtId="0" fontId="47" fillId="0" borderId="0" xfId="0" applyFont="1" applyAlignment="1">
      <alignment vertical="top"/>
    </xf>
    <xf numFmtId="0" fontId="37" fillId="5" borderId="0" xfId="0" applyFont="1" applyFill="1" applyBorder="1" applyAlignment="1">
      <alignment vertical="top"/>
    </xf>
    <xf numFmtId="0" fontId="33" fillId="0" borderId="0" xfId="0" applyFont="1" applyBorder="1" applyAlignment="1">
      <alignment vertical="top"/>
    </xf>
    <xf numFmtId="0" fontId="37" fillId="0" borderId="0" xfId="0" applyFont="1" applyBorder="1" applyAlignment="1">
      <alignment horizontal="center" vertical="top"/>
    </xf>
    <xf numFmtId="0" fontId="34" fillId="0" borderId="0" xfId="0" applyFont="1" applyAlignment="1">
      <alignment vertical="top" shrinkToFit="1"/>
    </xf>
    <xf numFmtId="0" fontId="33" fillId="0" borderId="0" xfId="0" applyFont="1" applyFill="1" applyAlignment="1">
      <alignment vertical="top"/>
    </xf>
    <xf numFmtId="0" fontId="37" fillId="0" borderId="0" xfId="0" applyFont="1" applyAlignment="1">
      <alignment horizontal="center" vertical="top"/>
    </xf>
    <xf numFmtId="0" fontId="37" fillId="0" borderId="0" xfId="0" applyFont="1" applyFill="1" applyAlignment="1">
      <alignment horizontal="center" vertical="top"/>
    </xf>
    <xf numFmtId="0" fontId="48" fillId="0" borderId="0" xfId="0" applyFont="1" applyAlignment="1">
      <alignment vertical="top"/>
    </xf>
    <xf numFmtId="0" fontId="48" fillId="0" borderId="0" xfId="0" applyFont="1" applyAlignment="1">
      <alignment horizontal="right" vertical="top"/>
    </xf>
    <xf numFmtId="0" fontId="33" fillId="0" borderId="27" xfId="0" applyFont="1" applyFill="1" applyBorder="1" applyAlignment="1">
      <alignment vertical="top"/>
    </xf>
    <xf numFmtId="0" fontId="33" fillId="0" borderId="12" xfId="0" applyFont="1" applyFill="1" applyBorder="1" applyAlignment="1">
      <alignment vertical="top"/>
    </xf>
    <xf numFmtId="0" fontId="33" fillId="10" borderId="12" xfId="0" applyFont="1" applyFill="1" applyBorder="1" applyAlignment="1">
      <alignment vertical="top"/>
    </xf>
    <xf numFmtId="0" fontId="33" fillId="8" borderId="12" xfId="0" applyFont="1" applyFill="1" applyBorder="1" applyAlignment="1">
      <alignment vertical="top"/>
    </xf>
    <xf numFmtId="0" fontId="33" fillId="0" borderId="12" xfId="0" applyFont="1" applyBorder="1" applyAlignment="1">
      <alignment vertical="top"/>
    </xf>
    <xf numFmtId="0" fontId="37" fillId="0" borderId="0" xfId="0" applyFont="1" applyBorder="1" applyAlignment="1">
      <alignment vertical="top"/>
    </xf>
    <xf numFmtId="0" fontId="47" fillId="0" borderId="0" xfId="0" applyFont="1" applyFill="1" applyBorder="1" applyAlignment="1">
      <alignment horizontal="center" vertical="top"/>
    </xf>
    <xf numFmtId="0" fontId="40" fillId="0" borderId="0" xfId="0" applyFont="1" applyAlignment="1">
      <alignment horizontal="center" vertical="top"/>
    </xf>
    <xf numFmtId="0" fontId="37" fillId="0" borderId="7" xfId="0" applyFont="1" applyBorder="1" applyAlignment="1">
      <alignment vertical="top"/>
    </xf>
    <xf numFmtId="0" fontId="37" fillId="0" borderId="6" xfId="0" applyFont="1" applyBorder="1" applyAlignment="1">
      <alignment vertical="top"/>
    </xf>
    <xf numFmtId="0" fontId="34" fillId="0" borderId="0" xfId="0" applyFont="1" applyAlignment="1">
      <alignment vertical="top"/>
    </xf>
    <xf numFmtId="0" fontId="34" fillId="0" borderId="0" xfId="0" applyFont="1" applyFill="1" applyBorder="1" applyAlignment="1">
      <alignment horizontal="center" vertical="top"/>
    </xf>
    <xf numFmtId="0" fontId="34" fillId="0" borderId="4" xfId="0" applyFont="1" applyFill="1" applyBorder="1" applyAlignment="1">
      <alignment horizontal="center" vertical="top"/>
    </xf>
    <xf numFmtId="0" fontId="42" fillId="0" borderId="0" xfId="0" applyFont="1" applyAlignment="1">
      <alignment vertical="top"/>
    </xf>
    <xf numFmtId="0" fontId="34" fillId="0" borderId="2" xfId="0" applyFont="1" applyBorder="1" applyAlignment="1">
      <alignment vertical="top"/>
    </xf>
    <xf numFmtId="0" fontId="34" fillId="0" borderId="3" xfId="0" applyFont="1" applyBorder="1" applyAlignment="1">
      <alignment vertical="top"/>
    </xf>
    <xf numFmtId="0" fontId="34" fillId="0" borderId="1" xfId="0" applyFont="1" applyBorder="1" applyAlignment="1">
      <alignment vertical="top"/>
    </xf>
    <xf numFmtId="0" fontId="34" fillId="0" borderId="5" xfId="0" applyFont="1" applyFill="1" applyBorder="1" applyAlignment="1">
      <alignment horizontal="center" vertical="top"/>
    </xf>
    <xf numFmtId="0" fontId="34" fillId="0" borderId="0" xfId="0" applyFont="1" applyFill="1" applyBorder="1" applyAlignment="1">
      <alignment vertical="top"/>
    </xf>
    <xf numFmtId="38" fontId="34" fillId="0" borderId="0" xfId="0" applyNumberFormat="1" applyFont="1" applyFill="1" applyBorder="1" applyAlignment="1">
      <alignment horizontal="center" vertical="top"/>
    </xf>
    <xf numFmtId="38" fontId="42" fillId="0" borderId="0" xfId="0" applyNumberFormat="1" applyFont="1" applyFill="1" applyBorder="1" applyAlignment="1">
      <alignment vertical="top"/>
    </xf>
    <xf numFmtId="38" fontId="34" fillId="0" borderId="0" xfId="0" applyNumberFormat="1" applyFont="1" applyAlignment="1">
      <alignment horizontal="center" vertical="top"/>
    </xf>
    <xf numFmtId="38" fontId="34" fillId="0" borderId="2" xfId="0" applyNumberFormat="1" applyFont="1" applyBorder="1" applyAlignment="1">
      <alignment horizontal="right" vertical="top"/>
    </xf>
    <xf numFmtId="38" fontId="34" fillId="0" borderId="3" xfId="0" applyNumberFormat="1" applyFont="1" applyBorder="1" applyAlignment="1">
      <alignment vertical="top"/>
    </xf>
    <xf numFmtId="38" fontId="34" fillId="0" borderId="1" xfId="0" applyNumberFormat="1" applyFont="1" applyBorder="1" applyAlignment="1">
      <alignment horizontal="center" vertical="top"/>
    </xf>
    <xf numFmtId="0" fontId="34" fillId="0" borderId="0" xfId="0" applyFont="1" applyBorder="1" applyAlignment="1">
      <alignment horizontal="center" vertical="top"/>
    </xf>
    <xf numFmtId="0" fontId="33" fillId="6" borderId="0" xfId="0" applyFont="1" applyFill="1" applyAlignment="1">
      <alignment vertical="top"/>
    </xf>
    <xf numFmtId="0" fontId="33" fillId="0" borderId="2" xfId="0" applyFont="1" applyBorder="1" applyAlignment="1">
      <alignment horizontal="center" vertical="top"/>
    </xf>
    <xf numFmtId="0" fontId="33" fillId="0" borderId="1" xfId="0" applyFont="1" applyBorder="1" applyAlignment="1">
      <alignment vertical="top"/>
    </xf>
    <xf numFmtId="0" fontId="34" fillId="0" borderId="0" xfId="0" applyFont="1" applyAlignment="1">
      <alignment horizontal="center" vertical="top"/>
    </xf>
    <xf numFmtId="0" fontId="33" fillId="6" borderId="0" xfId="0" applyFont="1" applyFill="1" applyBorder="1" applyAlignment="1">
      <alignment vertical="top"/>
    </xf>
    <xf numFmtId="0" fontId="37" fillId="6" borderId="0" xfId="0" applyFont="1" applyFill="1" applyBorder="1" applyAlignment="1">
      <alignment vertical="top"/>
    </xf>
    <xf numFmtId="0" fontId="36" fillId="0" borderId="0" xfId="0" applyFont="1" applyAlignment="1">
      <alignment vertical="top"/>
    </xf>
    <xf numFmtId="0" fontId="36" fillId="6" borderId="0" xfId="0" applyFont="1" applyFill="1" applyAlignment="1">
      <alignment vertical="top"/>
    </xf>
    <xf numFmtId="0" fontId="37" fillId="6" borderId="0" xfId="0" applyFont="1" applyFill="1" applyAlignment="1">
      <alignment vertical="top"/>
    </xf>
    <xf numFmtId="0" fontId="33" fillId="6" borderId="0" xfId="0" applyFont="1" applyFill="1" applyAlignment="1">
      <alignment horizontal="center" vertical="top"/>
    </xf>
    <xf numFmtId="180" fontId="37" fillId="0" borderId="0" xfId="0" applyNumberFormat="1" applyFont="1" applyBorder="1" applyAlignment="1">
      <alignment vertical="top"/>
    </xf>
    <xf numFmtId="0" fontId="37" fillId="0" borderId="0" xfId="0" applyFont="1" applyFill="1" applyBorder="1" applyAlignment="1">
      <alignment vertical="top"/>
    </xf>
    <xf numFmtId="0" fontId="41" fillId="0" borderId="0" xfId="0" applyFont="1" applyBorder="1" applyAlignment="1">
      <alignment horizontal="center" vertical="top"/>
    </xf>
    <xf numFmtId="0" fontId="45" fillId="0" borderId="0" xfId="0" applyFont="1" applyAlignment="1">
      <alignment vertical="top"/>
    </xf>
    <xf numFmtId="0" fontId="52" fillId="0" borderId="0" xfId="0" applyFont="1" applyAlignment="1">
      <alignment horizontal="right" vertical="top"/>
    </xf>
    <xf numFmtId="182" fontId="7" fillId="0" borderId="0" xfId="1" applyNumberFormat="1" applyFont="1" applyBorder="1" applyAlignment="1"/>
    <xf numFmtId="0" fontId="7" fillId="0" borderId="0" xfId="1" applyNumberFormat="1" applyFont="1" applyBorder="1" applyAlignment="1"/>
    <xf numFmtId="182" fontId="7" fillId="0" borderId="0" xfId="0" applyNumberFormat="1" applyFont="1" applyBorder="1"/>
    <xf numFmtId="182" fontId="7" fillId="0" borderId="69" xfId="1" applyNumberFormat="1" applyFont="1" applyBorder="1" applyAlignment="1"/>
    <xf numFmtId="182" fontId="7" fillId="0" borderId="26" xfId="1" applyNumberFormat="1" applyFont="1" applyBorder="1" applyAlignment="1"/>
    <xf numFmtId="182" fontId="7" fillId="0" borderId="16" xfId="1" applyNumberFormat="1" applyFont="1" applyBorder="1" applyAlignment="1"/>
    <xf numFmtId="0" fontId="35" fillId="6" borderId="0" xfId="0" applyFont="1" applyFill="1" applyAlignment="1">
      <alignment horizontal="center" vertical="top"/>
    </xf>
    <xf numFmtId="0" fontId="35" fillId="0" borderId="0" xfId="0" applyFont="1" applyFill="1" applyAlignment="1">
      <alignment horizontal="center" vertical="top"/>
    </xf>
    <xf numFmtId="0" fontId="53" fillId="0" borderId="0" xfId="0" applyFont="1" applyAlignment="1">
      <alignment vertical="top"/>
    </xf>
    <xf numFmtId="0" fontId="37" fillId="0" borderId="0" xfId="0" applyFont="1"/>
    <xf numFmtId="0" fontId="34" fillId="0" borderId="0" xfId="0" applyFont="1"/>
    <xf numFmtId="0" fontId="54" fillId="0" borderId="0" xfId="0" applyFont="1" applyAlignment="1">
      <alignment horizontal="center" vertical="top"/>
    </xf>
    <xf numFmtId="0" fontId="33" fillId="0" borderId="0" xfId="0" applyFont="1" applyAlignment="1">
      <alignment horizontal="right" vertical="top"/>
    </xf>
    <xf numFmtId="0" fontId="37" fillId="8" borderId="25" xfId="0" applyFont="1" applyFill="1" applyBorder="1" applyAlignment="1">
      <alignment vertical="top"/>
    </xf>
    <xf numFmtId="0" fontId="37" fillId="8" borderId="8" xfId="0" applyFont="1" applyFill="1" applyBorder="1" applyAlignment="1">
      <alignment vertical="top"/>
    </xf>
    <xf numFmtId="0" fontId="37" fillId="8" borderId="9" xfId="0" applyFont="1" applyFill="1" applyBorder="1" applyAlignment="1">
      <alignment vertical="top"/>
    </xf>
    <xf numFmtId="0" fontId="37" fillId="8" borderId="27" xfId="0" applyFont="1" applyFill="1" applyBorder="1" applyAlignment="1">
      <alignment vertical="top"/>
    </xf>
    <xf numFmtId="0" fontId="37" fillId="8" borderId="12" xfId="0" applyFont="1" applyFill="1" applyBorder="1" applyAlignment="1">
      <alignment vertical="top"/>
    </xf>
    <xf numFmtId="0" fontId="37" fillId="8" borderId="13" xfId="0" applyFont="1" applyFill="1" applyBorder="1" applyAlignment="1">
      <alignment vertical="top"/>
    </xf>
    <xf numFmtId="0" fontId="37" fillId="0" borderId="92" xfId="0" applyFont="1" applyBorder="1" applyAlignment="1">
      <alignment vertical="top"/>
    </xf>
    <xf numFmtId="177" fontId="47" fillId="0" borderId="0" xfId="0" applyNumberFormat="1" applyFont="1" applyAlignment="1">
      <alignment vertical="center"/>
    </xf>
    <xf numFmtId="181" fontId="37" fillId="0" borderId="2" xfId="0" applyNumberFormat="1" applyFont="1" applyBorder="1" applyAlignment="1">
      <alignment horizontal="right" vertical="top"/>
    </xf>
    <xf numFmtId="0" fontId="37" fillId="0" borderId="3" xfId="0" applyFont="1" applyBorder="1" applyAlignment="1">
      <alignment horizontal="right" vertical="top"/>
    </xf>
    <xf numFmtId="38" fontId="47" fillId="0" borderId="75" xfId="1" applyFont="1" applyFill="1" applyBorder="1" applyAlignment="1">
      <alignment vertical="top"/>
    </xf>
    <xf numFmtId="0" fontId="37" fillId="0" borderId="11" xfId="0" applyFont="1" applyBorder="1" applyAlignment="1">
      <alignment horizontal="center" vertical="center"/>
    </xf>
    <xf numFmtId="0" fontId="37" fillId="0" borderId="15" xfId="0" applyFont="1" applyBorder="1" applyAlignment="1">
      <alignment horizontal="center" vertical="center"/>
    </xf>
    <xf numFmtId="0" fontId="37" fillId="0" borderId="58" xfId="0" applyFont="1" applyBorder="1" applyAlignment="1">
      <alignment horizontal="center" vertical="center"/>
    </xf>
    <xf numFmtId="0" fontId="37" fillId="0" borderId="10" xfId="0" applyFont="1" applyBorder="1" applyAlignment="1">
      <alignment horizontal="center" vertical="center"/>
    </xf>
    <xf numFmtId="0" fontId="37" fillId="0" borderId="59" xfId="0" applyFont="1" applyBorder="1" applyAlignment="1">
      <alignment horizontal="center" vertical="center"/>
    </xf>
    <xf numFmtId="0" fontId="37" fillId="0" borderId="14" xfId="0" applyFont="1" applyBorder="1" applyAlignment="1">
      <alignment horizontal="center" vertical="center"/>
    </xf>
    <xf numFmtId="0" fontId="34" fillId="0" borderId="12" xfId="0" applyFont="1" applyBorder="1" applyAlignment="1">
      <alignment horizontal="left" vertical="center" shrinkToFit="1"/>
    </xf>
    <xf numFmtId="0" fontId="34" fillId="0" borderId="0" xfId="0" applyFont="1" applyBorder="1" applyAlignment="1">
      <alignment horizontal="left" vertical="center" shrinkToFit="1"/>
    </xf>
    <xf numFmtId="0" fontId="35" fillId="6" borderId="0" xfId="0" applyFont="1" applyFill="1" applyAlignment="1">
      <alignment horizontal="center" vertical="top"/>
    </xf>
    <xf numFmtId="38" fontId="37" fillId="0" borderId="58" xfId="0" applyNumberFormat="1" applyFont="1" applyBorder="1" applyAlignment="1">
      <alignment horizontal="right" vertical="center"/>
    </xf>
    <xf numFmtId="0" fontId="37" fillId="0" borderId="10" xfId="0" applyFont="1" applyBorder="1" applyAlignment="1">
      <alignment horizontal="right" vertical="center"/>
    </xf>
    <xf numFmtId="0" fontId="37" fillId="0" borderId="59" xfId="0" applyFont="1" applyBorder="1" applyAlignment="1">
      <alignment horizontal="right" vertical="center"/>
    </xf>
    <xf numFmtId="0" fontId="37" fillId="0" borderId="14" xfId="0" applyFont="1" applyBorder="1" applyAlignment="1">
      <alignment horizontal="right" vertical="center"/>
    </xf>
    <xf numFmtId="0" fontId="33" fillId="0" borderId="3" xfId="0" applyFont="1" applyBorder="1" applyAlignment="1">
      <alignment horizontal="left" vertical="top"/>
    </xf>
    <xf numFmtId="0" fontId="33" fillId="0" borderId="1" xfId="0" applyFont="1" applyBorder="1" applyAlignment="1">
      <alignment horizontal="left" vertical="top"/>
    </xf>
    <xf numFmtId="0" fontId="33" fillId="0" borderId="2" xfId="0" applyFont="1" applyBorder="1" applyAlignment="1">
      <alignment horizontal="center" vertical="top"/>
    </xf>
    <xf numFmtId="0" fontId="33" fillId="0" borderId="3" xfId="0" applyFont="1" applyBorder="1" applyAlignment="1">
      <alignment horizontal="center" vertical="top"/>
    </xf>
    <xf numFmtId="0" fontId="33" fillId="0" borderId="1" xfId="0" applyFont="1" applyBorder="1" applyAlignment="1">
      <alignment horizontal="center" vertical="top"/>
    </xf>
    <xf numFmtId="0" fontId="35" fillId="7" borderId="0" xfId="0" applyFont="1" applyFill="1" applyAlignment="1">
      <alignment horizontal="center" vertical="center"/>
    </xf>
    <xf numFmtId="0" fontId="54" fillId="10" borderId="87" xfId="0" applyFont="1" applyFill="1" applyBorder="1" applyAlignment="1" applyProtection="1">
      <alignment horizontal="center" vertical="top"/>
      <protection locked="0"/>
    </xf>
    <xf numFmtId="0" fontId="54" fillId="10" borderId="88" xfId="0" applyFont="1" applyFill="1" applyBorder="1" applyAlignment="1" applyProtection="1">
      <alignment horizontal="center" vertical="top"/>
      <protection locked="0"/>
    </xf>
    <xf numFmtId="0" fontId="54" fillId="10" borderId="89" xfId="0" applyFont="1" applyFill="1" applyBorder="1" applyAlignment="1" applyProtection="1">
      <alignment horizontal="center" vertical="top"/>
      <protection locked="0"/>
    </xf>
    <xf numFmtId="38" fontId="47" fillId="10" borderId="81" xfId="1" applyFont="1" applyFill="1" applyBorder="1" applyAlignment="1" applyProtection="1">
      <alignment vertical="top"/>
      <protection locked="0"/>
    </xf>
    <xf numFmtId="38" fontId="47" fillId="10" borderId="82" xfId="1" applyFont="1" applyFill="1" applyBorder="1" applyAlignment="1" applyProtection="1">
      <alignment vertical="top"/>
      <protection locked="0"/>
    </xf>
    <xf numFmtId="38" fontId="47" fillId="10" borderId="83" xfId="1" applyFont="1" applyFill="1" applyBorder="1" applyAlignment="1" applyProtection="1">
      <alignment vertical="top"/>
      <protection locked="0"/>
    </xf>
    <xf numFmtId="0" fontId="33" fillId="0" borderId="6" xfId="0" applyFont="1" applyBorder="1" applyAlignment="1">
      <alignment horizontal="center" vertical="top"/>
    </xf>
    <xf numFmtId="0" fontId="33" fillId="0" borderId="77" xfId="0" applyFont="1" applyBorder="1" applyAlignment="1">
      <alignment horizontal="center" vertical="top"/>
    </xf>
    <xf numFmtId="0" fontId="33" fillId="0" borderId="2" xfId="0" applyFont="1" applyBorder="1" applyAlignment="1">
      <alignment horizontal="left" vertical="top"/>
    </xf>
    <xf numFmtId="0" fontId="33" fillId="0" borderId="0" xfId="0" applyFont="1" applyBorder="1" applyAlignment="1">
      <alignment horizontal="left" vertical="top"/>
    </xf>
    <xf numFmtId="0" fontId="33" fillId="0" borderId="16" xfId="0" applyFont="1" applyBorder="1" applyAlignment="1">
      <alignment horizontal="left" vertical="top"/>
    </xf>
    <xf numFmtId="0" fontId="33" fillId="0" borderId="75" xfId="0" applyFont="1" applyBorder="1" applyAlignment="1">
      <alignment horizontal="center" vertical="top"/>
    </xf>
    <xf numFmtId="0" fontId="33" fillId="0" borderId="27" xfId="0" applyFont="1" applyBorder="1" applyAlignment="1">
      <alignment horizontal="center" vertical="top"/>
    </xf>
    <xf numFmtId="38" fontId="47" fillId="10" borderId="93" xfId="1" applyFont="1" applyFill="1" applyBorder="1" applyAlignment="1" applyProtection="1">
      <alignment vertical="top"/>
      <protection locked="0"/>
    </xf>
    <xf numFmtId="38" fontId="47" fillId="10" borderId="94" xfId="1" applyFont="1" applyFill="1" applyBorder="1" applyAlignment="1" applyProtection="1">
      <alignment vertical="top"/>
      <protection locked="0"/>
    </xf>
    <xf numFmtId="38" fontId="47" fillId="10" borderId="95" xfId="1" applyFont="1" applyFill="1" applyBorder="1" applyAlignment="1" applyProtection="1">
      <alignment vertical="top"/>
      <protection locked="0"/>
    </xf>
    <xf numFmtId="38" fontId="47" fillId="10" borderId="2" xfId="1" applyFont="1" applyFill="1" applyBorder="1" applyAlignment="1" applyProtection="1">
      <alignment vertical="top"/>
      <protection locked="0"/>
    </xf>
    <xf numFmtId="38" fontId="47" fillId="10" borderId="3" xfId="1" applyFont="1" applyFill="1" applyBorder="1" applyAlignment="1" applyProtection="1">
      <alignment vertical="top"/>
      <protection locked="0"/>
    </xf>
    <xf numFmtId="38" fontId="47" fillId="10" borderId="97" xfId="1" applyFont="1" applyFill="1" applyBorder="1" applyAlignment="1" applyProtection="1">
      <alignment vertical="top"/>
      <protection locked="0"/>
    </xf>
    <xf numFmtId="38" fontId="47" fillId="10" borderId="1" xfId="1" applyFont="1" applyFill="1" applyBorder="1" applyAlignment="1" applyProtection="1">
      <alignment vertical="top"/>
      <protection locked="0"/>
    </xf>
    <xf numFmtId="38" fontId="47" fillId="10" borderId="84" xfId="1" applyFont="1" applyFill="1" applyBorder="1" applyAlignment="1" applyProtection="1">
      <alignment vertical="top"/>
      <protection locked="0"/>
    </xf>
    <xf numFmtId="38" fontId="47" fillId="10" borderId="76" xfId="1" applyFont="1" applyFill="1" applyBorder="1" applyAlignment="1" applyProtection="1">
      <alignment vertical="top"/>
      <protection locked="0"/>
    </xf>
    <xf numFmtId="38" fontId="47" fillId="10" borderId="96" xfId="1" applyFont="1" applyFill="1" applyBorder="1" applyAlignment="1" applyProtection="1">
      <alignment vertical="top"/>
      <protection locked="0"/>
    </xf>
    <xf numFmtId="38" fontId="47" fillId="10" borderId="6" xfId="1" applyFont="1" applyFill="1" applyBorder="1" applyAlignment="1" applyProtection="1">
      <alignment vertical="top"/>
      <protection locked="0"/>
    </xf>
    <xf numFmtId="38" fontId="47" fillId="10" borderId="79" xfId="1" applyFont="1" applyFill="1" applyBorder="1" applyAlignment="1" applyProtection="1">
      <alignment vertical="top"/>
      <protection locked="0"/>
    </xf>
    <xf numFmtId="38" fontId="47" fillId="10" borderId="80" xfId="1" applyFont="1" applyFill="1" applyBorder="1" applyAlignment="1" applyProtection="1">
      <alignment vertical="top"/>
      <protection locked="0"/>
    </xf>
    <xf numFmtId="0" fontId="53" fillId="10" borderId="84" xfId="0" applyFont="1" applyFill="1" applyBorder="1" applyAlignment="1" applyProtection="1">
      <alignment horizontal="center" vertical="top"/>
      <protection locked="0"/>
    </xf>
    <xf numFmtId="0" fontId="53" fillId="10" borderId="76" xfId="0" applyFont="1" applyFill="1" applyBorder="1" applyAlignment="1" applyProtection="1">
      <alignment horizontal="center" vertical="top"/>
      <protection locked="0"/>
    </xf>
    <xf numFmtId="0" fontId="53" fillId="10" borderId="85" xfId="0" applyFont="1" applyFill="1" applyBorder="1" applyAlignment="1" applyProtection="1">
      <alignment horizontal="center" vertical="top"/>
      <protection locked="0"/>
    </xf>
    <xf numFmtId="0" fontId="33" fillId="0" borderId="86" xfId="0" applyFont="1" applyFill="1" applyBorder="1" applyAlignment="1" applyProtection="1">
      <alignment horizontal="center" vertical="top"/>
      <protection locked="0"/>
    </xf>
    <xf numFmtId="0" fontId="33" fillId="0" borderId="91" xfId="0" applyFont="1" applyFill="1" applyBorder="1" applyAlignment="1" applyProtection="1">
      <alignment horizontal="center" vertical="top"/>
      <protection locked="0"/>
    </xf>
    <xf numFmtId="0" fontId="33" fillId="0" borderId="90" xfId="0" applyFont="1" applyFill="1" applyBorder="1" applyAlignment="1" applyProtection="1">
      <alignment horizontal="center" vertical="top"/>
      <protection locked="0"/>
    </xf>
    <xf numFmtId="0" fontId="33" fillId="0" borderId="12" xfId="0" applyFont="1" applyFill="1" applyBorder="1" applyAlignment="1">
      <alignment horizontal="center" vertical="top"/>
    </xf>
    <xf numFmtId="0" fontId="33" fillId="0" borderId="7" xfId="0" applyFont="1" applyBorder="1" applyAlignment="1">
      <alignment horizontal="center" vertical="top"/>
    </xf>
    <xf numFmtId="0" fontId="34" fillId="0" borderId="0" xfId="0" applyFont="1" applyAlignment="1">
      <alignment horizontal="left" vertical="top" wrapText="1"/>
    </xf>
    <xf numFmtId="0" fontId="47" fillId="0" borderId="0" xfId="0" applyFont="1" applyAlignment="1">
      <alignment horizontal="center" vertical="top" shrinkToFit="1"/>
    </xf>
    <xf numFmtId="0" fontId="54" fillId="10" borderId="79" xfId="0" applyFont="1" applyFill="1" applyBorder="1" applyAlignment="1" applyProtection="1">
      <alignment horizontal="center" vertical="top"/>
      <protection locked="0"/>
    </xf>
    <xf numFmtId="0" fontId="54" fillId="10" borderId="80" xfId="0" applyFont="1" applyFill="1" applyBorder="1" applyAlignment="1" applyProtection="1">
      <alignment horizontal="center" vertical="top"/>
      <protection locked="0"/>
    </xf>
    <xf numFmtId="38" fontId="47" fillId="10" borderId="78" xfId="1" applyFont="1" applyFill="1" applyBorder="1" applyAlignment="1" applyProtection="1">
      <alignment vertical="top"/>
      <protection locked="0"/>
    </xf>
    <xf numFmtId="0" fontId="47" fillId="0" borderId="0" xfId="0" applyFont="1" applyAlignment="1">
      <alignment horizontal="center" vertical="top"/>
    </xf>
    <xf numFmtId="0" fontId="47" fillId="0" borderId="8" xfId="0" applyFont="1" applyBorder="1" applyAlignment="1">
      <alignment horizontal="center" vertical="top"/>
    </xf>
    <xf numFmtId="38" fontId="47" fillId="10" borderId="98" xfId="1" applyFont="1" applyFill="1" applyBorder="1" applyAlignment="1" applyProtection="1">
      <alignment vertical="top"/>
      <protection locked="0"/>
    </xf>
    <xf numFmtId="49" fontId="4" fillId="0" borderId="36" xfId="1" applyNumberFormat="1" applyFont="1" applyBorder="1" applyAlignment="1">
      <alignment horizontal="center" vertical="center"/>
    </xf>
    <xf numFmtId="49" fontId="4" fillId="0" borderId="37" xfId="1" applyNumberFormat="1" applyFont="1" applyBorder="1" applyAlignment="1">
      <alignment horizontal="center" vertical="center"/>
    </xf>
    <xf numFmtId="38" fontId="4" fillId="2" borderId="33" xfId="1" applyFont="1" applyFill="1" applyBorder="1" applyAlignment="1" applyProtection="1">
      <alignment vertical="center"/>
      <protection locked="0"/>
    </xf>
    <xf numFmtId="38" fontId="4" fillId="2" borderId="38" xfId="1" applyFont="1" applyFill="1" applyBorder="1" applyAlignment="1" applyProtection="1">
      <alignment vertical="center"/>
      <protection locked="0"/>
    </xf>
    <xf numFmtId="179" fontId="4" fillId="2" borderId="34" xfId="1" applyNumberFormat="1" applyFont="1" applyFill="1" applyBorder="1" applyAlignment="1" applyProtection="1">
      <alignment vertical="center"/>
      <protection locked="0"/>
    </xf>
    <xf numFmtId="179" fontId="4" fillId="2" borderId="35" xfId="1" applyNumberFormat="1" applyFont="1" applyFill="1" applyBorder="1" applyAlignment="1" applyProtection="1">
      <alignment vertical="center"/>
      <protection locked="0"/>
    </xf>
    <xf numFmtId="38" fontId="5" fillId="0" borderId="6" xfId="1" applyFont="1" applyBorder="1" applyAlignment="1">
      <alignment horizontal="center" vertical="center" shrinkToFit="1"/>
    </xf>
    <xf numFmtId="38" fontId="5" fillId="0" borderId="42" xfId="1" applyFont="1" applyBorder="1" applyAlignment="1">
      <alignment horizontal="center" vertical="center" shrinkToFit="1"/>
    </xf>
    <xf numFmtId="178" fontId="4" fillId="0" borderId="39" xfId="0" applyNumberFormat="1" applyFont="1" applyBorder="1" applyAlignment="1">
      <alignment horizontal="center" vertical="center"/>
    </xf>
    <xf numFmtId="178" fontId="4" fillId="0" borderId="40" xfId="0" applyNumberFormat="1" applyFont="1" applyBorder="1" applyAlignment="1">
      <alignment horizontal="center" vertical="center"/>
    </xf>
    <xf numFmtId="178" fontId="4" fillId="0" borderId="41" xfId="0" applyNumberFormat="1" applyFont="1" applyBorder="1" applyAlignment="1">
      <alignment horizontal="center" vertical="center"/>
    </xf>
    <xf numFmtId="38" fontId="4" fillId="0" borderId="2" xfId="1" applyFont="1" applyBorder="1" applyAlignment="1">
      <alignment horizontal="center" vertical="center" shrinkToFit="1"/>
    </xf>
    <xf numFmtId="38" fontId="4" fillId="0" borderId="1" xfId="1"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0" fillId="0" borderId="39"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38" fontId="5" fillId="0" borderId="43" xfId="1" applyFont="1" applyBorder="1" applyAlignment="1">
      <alignment horizontal="center" vertical="center" shrinkToFit="1"/>
    </xf>
    <xf numFmtId="38" fontId="4" fillId="0" borderId="33" xfId="1" applyFont="1" applyFill="1" applyBorder="1" applyAlignment="1" applyProtection="1">
      <alignment vertical="center"/>
      <protection locked="0"/>
    </xf>
    <xf numFmtId="38" fontId="4" fillId="0" borderId="38" xfId="1" applyFont="1" applyFill="1" applyBorder="1" applyAlignment="1" applyProtection="1">
      <alignment vertical="center"/>
      <protection locked="0"/>
    </xf>
    <xf numFmtId="0" fontId="4" fillId="0" borderId="6" xfId="0" applyFont="1" applyBorder="1" applyAlignment="1">
      <alignment horizontal="center" vertical="center" shrinkToFit="1"/>
    </xf>
    <xf numFmtId="182" fontId="4" fillId="2" borderId="2" xfId="1" applyNumberFormat="1" applyFont="1" applyFill="1" applyBorder="1" applyAlignment="1" applyProtection="1">
      <alignment horizontal="center" vertical="center" shrinkToFit="1"/>
      <protection locked="0"/>
    </xf>
    <xf numFmtId="182" fontId="4" fillId="2" borderId="1" xfId="1" applyNumberFormat="1" applyFont="1" applyFill="1" applyBorder="1" applyAlignment="1" applyProtection="1">
      <alignment horizontal="center" vertical="center" shrinkToFit="1"/>
      <protection locked="0"/>
    </xf>
    <xf numFmtId="182" fontId="4" fillId="2" borderId="2" xfId="0" applyNumberFormat="1" applyFont="1" applyFill="1" applyBorder="1" applyAlignment="1" applyProtection="1">
      <alignment horizontal="center" vertical="center" shrinkToFit="1"/>
      <protection locked="0"/>
    </xf>
    <xf numFmtId="182" fontId="4" fillId="2" borderId="1" xfId="0" applyNumberFormat="1" applyFont="1" applyFill="1" applyBorder="1" applyAlignment="1" applyProtection="1">
      <alignment horizontal="center" vertical="center" shrinkToFit="1"/>
      <protection locked="0"/>
    </xf>
    <xf numFmtId="6" fontId="4" fillId="0" borderId="6" xfId="2"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13" xfId="0" applyFont="1" applyBorder="1" applyAlignment="1">
      <alignment horizontal="center" vertical="center" shrinkToFit="1"/>
    </xf>
    <xf numFmtId="6" fontId="4" fillId="0" borderId="2" xfId="2" applyFont="1" applyBorder="1" applyAlignment="1">
      <alignment horizontal="center" vertical="center" shrinkToFit="1"/>
    </xf>
    <xf numFmtId="6" fontId="4" fillId="0" borderId="3" xfId="2" applyFont="1" applyBorder="1" applyAlignment="1">
      <alignment horizontal="center" vertical="center" shrinkToFit="1"/>
    </xf>
    <xf numFmtId="6" fontId="4" fillId="0" borderId="1" xfId="2" applyFont="1" applyBorder="1" applyAlignment="1">
      <alignment horizontal="center" vertical="center" shrinkToFit="1"/>
    </xf>
    <xf numFmtId="179" fontId="4" fillId="0" borderId="44" xfId="1" applyNumberFormat="1" applyFont="1" applyFill="1" applyBorder="1" applyAlignment="1" applyProtection="1">
      <alignment horizontal="center" vertical="center"/>
      <protection locked="0"/>
    </xf>
    <xf numFmtId="179" fontId="4" fillId="0" borderId="45" xfId="1" applyNumberFormat="1" applyFont="1" applyFill="1" applyBorder="1" applyAlignment="1" applyProtection="1">
      <alignment horizontal="center" vertical="center"/>
      <protection locked="0"/>
    </xf>
    <xf numFmtId="179" fontId="4" fillId="0" borderId="46" xfId="1" applyNumberFormat="1" applyFont="1" applyFill="1" applyBorder="1" applyAlignment="1" applyProtection="1">
      <alignment horizontal="center" vertical="center"/>
      <protection locked="0"/>
    </xf>
    <xf numFmtId="179" fontId="4" fillId="0" borderId="34" xfId="1" applyNumberFormat="1" applyFont="1" applyFill="1" applyBorder="1" applyAlignment="1" applyProtection="1">
      <alignment vertical="center"/>
      <protection locked="0"/>
    </xf>
    <xf numFmtId="179" fontId="4" fillId="0" borderId="35" xfId="1" applyNumberFormat="1" applyFont="1" applyFill="1" applyBorder="1" applyAlignment="1" applyProtection="1">
      <alignment vertical="center"/>
      <protection locked="0"/>
    </xf>
    <xf numFmtId="0" fontId="4" fillId="0" borderId="6" xfId="0" applyFont="1" applyFill="1" applyBorder="1" applyAlignment="1">
      <alignment horizontal="center" vertical="center"/>
    </xf>
    <xf numFmtId="182" fontId="0" fillId="2" borderId="2" xfId="0" applyNumberFormat="1" applyFill="1" applyBorder="1" applyAlignment="1" applyProtection="1">
      <alignment horizontal="center" vertical="center" shrinkToFit="1"/>
      <protection locked="0"/>
    </xf>
    <xf numFmtId="182" fontId="0" fillId="2" borderId="1" xfId="0" applyNumberFormat="1" applyFill="1" applyBorder="1" applyAlignment="1" applyProtection="1">
      <alignment horizontal="center" vertical="center" shrinkToFit="1"/>
      <protection locked="0"/>
    </xf>
    <xf numFmtId="0" fontId="15" fillId="0" borderId="0" xfId="0" applyFont="1" applyAlignment="1">
      <alignment horizontal="center" vertical="center"/>
    </xf>
    <xf numFmtId="0" fontId="4" fillId="0" borderId="39" xfId="0"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2" xfId="0" applyFont="1" applyBorder="1" applyAlignment="1">
      <alignment horizontal="center" shrinkToFit="1"/>
    </xf>
    <xf numFmtId="0" fontId="4" fillId="0" borderId="3" xfId="0" applyFont="1" applyBorder="1" applyAlignment="1">
      <alignment horizontal="center" shrinkToFit="1"/>
    </xf>
    <xf numFmtId="0" fontId="4" fillId="0" borderId="1" xfId="0" applyFont="1" applyBorder="1" applyAlignment="1">
      <alignment horizontal="center" shrinkToFit="1"/>
    </xf>
    <xf numFmtId="38" fontId="1" fillId="2" borderId="6" xfId="1" applyFont="1" applyFill="1" applyBorder="1" applyAlignment="1" applyProtection="1">
      <alignment horizontal="center"/>
      <protection locked="0"/>
    </xf>
    <xf numFmtId="0" fontId="4" fillId="0" borderId="6" xfId="0" applyFont="1" applyBorder="1" applyAlignment="1">
      <alignment horizontal="center"/>
    </xf>
    <xf numFmtId="180" fontId="0" fillId="0" borderId="6" xfId="1" applyNumberFormat="1" applyFont="1" applyFill="1" applyBorder="1" applyAlignment="1">
      <alignment horizontal="center" vertical="center"/>
    </xf>
    <xf numFmtId="180" fontId="4" fillId="0" borderId="6" xfId="1" applyNumberFormat="1" applyFont="1" applyFill="1" applyBorder="1" applyAlignment="1">
      <alignment horizontal="center" vertical="center"/>
    </xf>
    <xf numFmtId="180" fontId="4" fillId="0" borderId="6" xfId="0" applyNumberFormat="1" applyFont="1" applyFill="1" applyBorder="1" applyAlignment="1">
      <alignment horizontal="center" vertical="center"/>
    </xf>
    <xf numFmtId="176" fontId="4" fillId="0" borderId="6" xfId="1"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xf>
    <xf numFmtId="176" fontId="4" fillId="2" borderId="6" xfId="1" applyNumberFormat="1" applyFont="1" applyFill="1" applyBorder="1" applyAlignment="1" applyProtection="1">
      <alignment horizontal="center"/>
      <protection locked="0"/>
    </xf>
    <xf numFmtId="180" fontId="1" fillId="4" borderId="6" xfId="1" applyNumberFormat="1" applyFont="1" applyFill="1" applyBorder="1" applyAlignment="1" applyProtection="1">
      <alignment horizontal="center" vertical="center"/>
      <protection locked="0"/>
    </xf>
    <xf numFmtId="180" fontId="1" fillId="4" borderId="6" xfId="0" applyNumberFormat="1" applyFont="1" applyFill="1" applyBorder="1" applyAlignment="1" applyProtection="1">
      <alignment horizontal="center" vertical="center"/>
      <protection locked="0"/>
    </xf>
    <xf numFmtId="0" fontId="5" fillId="9" borderId="25" xfId="0" applyFont="1" applyFill="1" applyBorder="1" applyAlignment="1">
      <alignment horizontal="left" vertical="center" wrapText="1" shrinkToFit="1"/>
    </xf>
    <xf numFmtId="0" fontId="5" fillId="9" borderId="8" xfId="0" applyFont="1" applyFill="1" applyBorder="1" applyAlignment="1">
      <alignment horizontal="left" vertical="center" wrapText="1" shrinkToFit="1"/>
    </xf>
    <xf numFmtId="0" fontId="5" fillId="9" borderId="9" xfId="0" applyFont="1" applyFill="1" applyBorder="1" applyAlignment="1">
      <alignment horizontal="left" vertical="center" wrapText="1" shrinkToFit="1"/>
    </xf>
    <xf numFmtId="0" fontId="5" fillId="9" borderId="27" xfId="0" applyFont="1" applyFill="1" applyBorder="1" applyAlignment="1">
      <alignment horizontal="left" vertical="center" wrapText="1" shrinkToFit="1"/>
    </xf>
    <xf numFmtId="0" fontId="5" fillId="9" borderId="12" xfId="0" applyFont="1" applyFill="1" applyBorder="1" applyAlignment="1">
      <alignment horizontal="left" vertical="center" wrapText="1" shrinkToFit="1"/>
    </xf>
    <xf numFmtId="0" fontId="5" fillId="9" borderId="13" xfId="0" applyFont="1" applyFill="1" applyBorder="1" applyAlignment="1">
      <alignment horizontal="left" vertical="center" wrapText="1" shrinkToFit="1"/>
    </xf>
    <xf numFmtId="38" fontId="0" fillId="9" borderId="25" xfId="1" applyFont="1" applyFill="1" applyBorder="1" applyAlignment="1" applyProtection="1">
      <alignment vertical="center" wrapText="1" shrinkToFit="1"/>
      <protection locked="0"/>
    </xf>
    <xf numFmtId="38" fontId="0" fillId="9" borderId="8" xfId="1" applyFont="1" applyFill="1" applyBorder="1" applyAlignment="1" applyProtection="1">
      <alignment vertical="center" wrapText="1" shrinkToFit="1"/>
      <protection locked="0"/>
    </xf>
    <xf numFmtId="38" fontId="0" fillId="9" borderId="9" xfId="1" applyFont="1" applyFill="1" applyBorder="1" applyAlignment="1" applyProtection="1">
      <alignment vertical="center" wrapText="1" shrinkToFit="1"/>
      <protection locked="0"/>
    </xf>
    <xf numFmtId="38" fontId="0" fillId="9" borderId="27" xfId="1" applyFont="1" applyFill="1" applyBorder="1" applyAlignment="1" applyProtection="1">
      <alignment vertical="center" wrapText="1" shrinkToFit="1"/>
      <protection locked="0"/>
    </xf>
    <xf numFmtId="38" fontId="0" fillId="9" borderId="12" xfId="1" applyFont="1" applyFill="1" applyBorder="1" applyAlignment="1" applyProtection="1">
      <alignment vertical="center" wrapText="1" shrinkToFit="1"/>
      <protection locked="0"/>
    </xf>
    <xf numFmtId="38" fontId="0" fillId="9" borderId="13" xfId="1" applyFont="1" applyFill="1" applyBorder="1" applyAlignment="1" applyProtection="1">
      <alignment vertical="center" wrapText="1" shrinkToFit="1"/>
      <protection locked="0"/>
    </xf>
    <xf numFmtId="38" fontId="4" fillId="0" borderId="27" xfId="1" applyFont="1" applyBorder="1" applyAlignment="1">
      <alignment horizontal="center" vertical="center" shrinkToFit="1"/>
    </xf>
    <xf numFmtId="38" fontId="4" fillId="0" borderId="13" xfId="1" applyFont="1" applyBorder="1" applyAlignment="1">
      <alignment horizontal="center" vertical="center" shrinkToFit="1"/>
    </xf>
    <xf numFmtId="38" fontId="4" fillId="0" borderId="3" xfId="1" applyFont="1" applyBorder="1" applyAlignment="1">
      <alignment horizontal="center" vertical="center" shrinkToFit="1"/>
    </xf>
    <xf numFmtId="176" fontId="4" fillId="2" borderId="6" xfId="0" applyNumberFormat="1" applyFont="1" applyFill="1" applyBorder="1" applyAlignment="1" applyProtection="1">
      <alignment vertical="center"/>
      <protection locked="0"/>
    </xf>
    <xf numFmtId="176" fontId="8" fillId="0" borderId="6" xfId="0" applyNumberFormat="1" applyFont="1" applyBorder="1" applyAlignment="1">
      <alignment vertical="center" wrapText="1"/>
    </xf>
    <xf numFmtId="182" fontId="7" fillId="9" borderId="6" xfId="1" applyNumberFormat="1" applyFont="1" applyFill="1" applyBorder="1" applyAlignment="1"/>
    <xf numFmtId="182" fontId="7" fillId="0" borderId="6" xfId="1" applyNumberFormat="1" applyFont="1" applyBorder="1" applyAlignment="1"/>
    <xf numFmtId="0" fontId="7" fillId="0" borderId="6" xfId="1" applyNumberFormat="1" applyFont="1" applyBorder="1" applyAlignment="1"/>
    <xf numFmtId="0" fontId="25" fillId="0" borderId="0" xfId="0" applyFont="1" applyFill="1" applyBorder="1" applyAlignment="1">
      <alignment horizontal="left" vertical="center" shrinkToFit="1"/>
    </xf>
    <xf numFmtId="0" fontId="25" fillId="0" borderId="21" xfId="0" applyFont="1" applyFill="1" applyBorder="1" applyAlignment="1">
      <alignment horizontal="left" vertical="center" shrinkToFit="1"/>
    </xf>
    <xf numFmtId="0" fontId="12" fillId="0" borderId="6" xfId="0" applyFont="1" applyFill="1" applyBorder="1" applyAlignment="1">
      <alignment horizontal="center" vertical="center"/>
    </xf>
    <xf numFmtId="38" fontId="7" fillId="0" borderId="6" xfId="1" applyFont="1" applyFill="1" applyBorder="1" applyAlignment="1">
      <alignment horizontal="center" shrinkToFit="1"/>
    </xf>
    <xf numFmtId="0" fontId="3" fillId="0" borderId="6" xfId="0" applyFont="1" applyFill="1" applyBorder="1" applyAlignment="1">
      <alignment horizontal="center" vertical="center"/>
    </xf>
    <xf numFmtId="0" fontId="18" fillId="0" borderId="0" xfId="0" applyFont="1" applyFill="1" applyBorder="1" applyAlignment="1">
      <alignment horizontal="left" vertical="top" wrapText="1" shrinkToFit="1"/>
    </xf>
    <xf numFmtId="38" fontId="7" fillId="0" borderId="6" xfId="1" applyFont="1" applyFill="1" applyBorder="1" applyAlignment="1">
      <alignment horizontal="center"/>
    </xf>
    <xf numFmtId="0" fontId="7" fillId="0" borderId="0" xfId="0" applyFont="1" applyFill="1" applyBorder="1" applyAlignment="1">
      <alignment horizontal="center"/>
    </xf>
    <xf numFmtId="38" fontId="7" fillId="0" borderId="0" xfId="1" applyFont="1" applyFill="1" applyBorder="1" applyAlignment="1">
      <alignment horizontal="center"/>
    </xf>
    <xf numFmtId="38" fontId="7" fillId="0" borderId="6" xfId="1" applyFont="1" applyBorder="1" applyAlignment="1"/>
    <xf numFmtId="0" fontId="7" fillId="0" borderId="1" xfId="0" applyFont="1" applyFill="1" applyBorder="1" applyAlignment="1"/>
    <xf numFmtId="0" fontId="7" fillId="0" borderId="6" xfId="0" applyFont="1" applyFill="1" applyBorder="1" applyAlignment="1"/>
    <xf numFmtId="38" fontId="7" fillId="0" borderId="3" xfId="0" applyNumberFormat="1" applyFont="1" applyFill="1" applyBorder="1" applyAlignment="1"/>
    <xf numFmtId="38" fontId="7" fillId="0" borderId="1" xfId="0" applyNumberFormat="1" applyFont="1" applyFill="1" applyBorder="1" applyAlignment="1"/>
    <xf numFmtId="0" fontId="7" fillId="0" borderId="6" xfId="0" applyFont="1" applyFill="1" applyBorder="1" applyAlignment="1">
      <alignment horizontal="center"/>
    </xf>
    <xf numFmtId="38" fontId="7" fillId="0" borderId="6" xfId="0" applyNumberFormat="1" applyFont="1" applyBorder="1" applyAlignment="1"/>
    <xf numFmtId="0" fontId="7" fillId="0" borderId="6" xfId="0" applyFont="1" applyBorder="1" applyAlignment="1"/>
    <xf numFmtId="182" fontId="7" fillId="0" borderId="2" xfId="1" applyNumberFormat="1" applyFont="1" applyBorder="1" applyAlignment="1"/>
    <xf numFmtId="182" fontId="7" fillId="0" borderId="3" xfId="1" applyNumberFormat="1" applyFont="1" applyBorder="1" applyAlignment="1"/>
    <xf numFmtId="182" fontId="7" fillId="0" borderId="1" xfId="1" applyNumberFormat="1" applyFont="1" applyBorder="1" applyAlignment="1"/>
    <xf numFmtId="0" fontId="7" fillId="0" borderId="3" xfId="0" applyFont="1" applyBorder="1" applyAlignment="1">
      <alignment horizontal="center"/>
    </xf>
    <xf numFmtId="0" fontId="7" fillId="0" borderId="1" xfId="0" applyFont="1" applyBorder="1" applyAlignment="1">
      <alignment horizontal="center"/>
    </xf>
    <xf numFmtId="181" fontId="0" fillId="0" borderId="2" xfId="0" applyNumberFormat="1" applyBorder="1" applyAlignment="1"/>
    <xf numFmtId="181" fontId="0" fillId="0" borderId="3" xfId="0" applyNumberFormat="1" applyBorder="1" applyAlignment="1"/>
    <xf numFmtId="181" fontId="0" fillId="0" borderId="1" xfId="0" applyNumberFormat="1" applyBorder="1" applyAlignment="1"/>
    <xf numFmtId="0" fontId="5" fillId="0" borderId="6" xfId="0" applyFont="1" applyFill="1" applyBorder="1" applyAlignment="1">
      <alignment horizontal="center"/>
    </xf>
    <xf numFmtId="38" fontId="5" fillId="0" borderId="2" xfId="1" applyFont="1" applyFill="1" applyBorder="1" applyAlignment="1">
      <alignment horizontal="center"/>
    </xf>
    <xf numFmtId="38" fontId="5" fillId="0" borderId="1" xfId="1" applyFont="1" applyFill="1" applyBorder="1" applyAlignment="1">
      <alignment horizontal="center"/>
    </xf>
    <xf numFmtId="0" fontId="0" fillId="0" borderId="3" xfId="0" applyBorder="1" applyAlignment="1"/>
    <xf numFmtId="0" fontId="0" fillId="0" borderId="1" xfId="0" applyBorder="1" applyAlignment="1"/>
    <xf numFmtId="38" fontId="7" fillId="9" borderId="6" xfId="1" applyFont="1" applyFill="1" applyBorder="1" applyAlignment="1"/>
    <xf numFmtId="0" fontId="7" fillId="0" borderId="0" xfId="0" applyFont="1" applyFill="1" applyBorder="1" applyAlignment="1">
      <alignment horizontal="center" shrinkToFit="1"/>
    </xf>
    <xf numFmtId="3" fontId="7" fillId="0" borderId="0" xfId="0" applyNumberFormat="1" applyFont="1" applyFill="1" applyBorder="1" applyAlignment="1">
      <alignment horizontal="center"/>
    </xf>
    <xf numFmtId="183" fontId="7" fillId="0" borderId="0" xfId="0" applyNumberFormat="1" applyFont="1" applyFill="1" applyBorder="1" applyAlignment="1">
      <alignment horizontal="center"/>
    </xf>
    <xf numFmtId="0" fontId="0" fillId="0" borderId="58"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59"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38" fontId="7" fillId="0" borderId="2" xfId="0" applyNumberFormat="1" applyFont="1" applyFill="1" applyBorder="1" applyAlignment="1">
      <alignment horizontal="center"/>
    </xf>
    <xf numFmtId="0" fontId="7" fillId="0" borderId="3" xfId="0" applyFont="1" applyFill="1" applyBorder="1" applyAlignment="1">
      <alignment horizontal="center"/>
    </xf>
    <xf numFmtId="0" fontId="7" fillId="0" borderId="1" xfId="0" applyFont="1" applyFill="1" applyBorder="1" applyAlignment="1">
      <alignment horizontal="center"/>
    </xf>
    <xf numFmtId="0" fontId="0" fillId="0" borderId="6" xfId="0" applyBorder="1" applyAlignment="1">
      <alignment horizontal="center"/>
    </xf>
    <xf numFmtId="38" fontId="7" fillId="0" borderId="6" xfId="0" applyNumberFormat="1" applyFont="1" applyFill="1" applyBorder="1" applyAlignment="1">
      <alignment horizontal="center"/>
    </xf>
    <xf numFmtId="38" fontId="7" fillId="0" borderId="2" xfId="1" applyFont="1" applyFill="1" applyBorder="1" applyAlignment="1">
      <alignment horizontal="center"/>
    </xf>
    <xf numFmtId="38" fontId="7" fillId="0" borderId="3" xfId="1" applyFont="1" applyFill="1" applyBorder="1" applyAlignment="1">
      <alignment horizontal="center"/>
    </xf>
    <xf numFmtId="38" fontId="7" fillId="0" borderId="1" xfId="1" applyFont="1" applyFill="1" applyBorder="1" applyAlignment="1">
      <alignment horizontal="center"/>
    </xf>
    <xf numFmtId="0" fontId="7" fillId="0" borderId="2" xfId="0" applyFont="1" applyFill="1" applyBorder="1" applyAlignment="1">
      <alignment horizontal="center" shrinkToFit="1"/>
    </xf>
    <xf numFmtId="0" fontId="7" fillId="0" borderId="3" xfId="0" applyFont="1" applyFill="1" applyBorder="1" applyAlignment="1">
      <alignment horizontal="center" shrinkToFit="1"/>
    </xf>
    <xf numFmtId="0" fontId="7" fillId="0" borderId="1" xfId="0" applyFont="1" applyFill="1" applyBorder="1" applyAlignment="1">
      <alignment horizontal="center" shrinkToFit="1"/>
    </xf>
    <xf numFmtId="0" fontId="5" fillId="0" borderId="2" xfId="0" applyFont="1" applyFill="1" applyBorder="1" applyAlignment="1">
      <alignment horizontal="center" shrinkToFit="1"/>
    </xf>
    <xf numFmtId="0" fontId="5" fillId="0" borderId="3" xfId="0" applyFont="1" applyFill="1" applyBorder="1" applyAlignment="1">
      <alignment horizontal="center" shrinkToFit="1"/>
    </xf>
    <xf numFmtId="0" fontId="5" fillId="0" borderId="1" xfId="0" applyFont="1" applyFill="1" applyBorder="1" applyAlignment="1">
      <alignment horizontal="center" shrinkToFit="1"/>
    </xf>
    <xf numFmtId="0" fontId="20" fillId="0" borderId="6" xfId="0" applyFont="1" applyFill="1" applyBorder="1" applyAlignment="1">
      <alignment horizontal="center" vertical="center"/>
    </xf>
    <xf numFmtId="176" fontId="7" fillId="0" borderId="29" xfId="0" applyNumberFormat="1" applyFont="1" applyFill="1" applyBorder="1" applyAlignment="1" applyProtection="1">
      <alignment horizontal="center"/>
      <protection locked="0"/>
    </xf>
    <xf numFmtId="176" fontId="7" fillId="0" borderId="30" xfId="0" applyNumberFormat="1" applyFont="1" applyFill="1" applyBorder="1" applyAlignment="1" applyProtection="1">
      <alignment horizontal="center"/>
      <protection locked="0"/>
    </xf>
    <xf numFmtId="0" fontId="7" fillId="0" borderId="60" xfId="0" applyFont="1" applyFill="1" applyBorder="1" applyAlignment="1">
      <alignment horizontal="center" shrinkToFit="1"/>
    </xf>
    <xf numFmtId="176" fontId="7" fillId="0" borderId="56" xfId="0" applyNumberFormat="1" applyFont="1" applyFill="1" applyBorder="1" applyAlignment="1" applyProtection="1">
      <alignment horizontal="center"/>
      <protection locked="0"/>
    </xf>
    <xf numFmtId="176" fontId="7" fillId="0" borderId="57" xfId="0" applyNumberFormat="1" applyFont="1" applyFill="1" applyBorder="1" applyAlignment="1" applyProtection="1">
      <alignment horizontal="center"/>
      <protection locked="0"/>
    </xf>
    <xf numFmtId="0" fontId="19" fillId="0" borderId="29"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30" xfId="0" applyFont="1" applyFill="1" applyBorder="1" applyAlignment="1">
      <alignment horizontal="center" vertical="center" shrinkToFit="1"/>
    </xf>
    <xf numFmtId="0" fontId="19" fillId="0" borderId="48" xfId="0" applyFont="1" applyFill="1" applyBorder="1" applyAlignment="1">
      <alignment horizontal="center" vertical="center" shrinkToFit="1"/>
    </xf>
    <xf numFmtId="0" fontId="19" fillId="0" borderId="49" xfId="0" applyFont="1" applyFill="1" applyBorder="1" applyAlignment="1">
      <alignment horizontal="center" vertical="center" shrinkToFit="1"/>
    </xf>
    <xf numFmtId="0" fontId="19" fillId="0" borderId="50" xfId="0" applyFont="1" applyFill="1" applyBorder="1" applyAlignment="1">
      <alignment horizontal="center" vertical="center" shrinkToFit="1"/>
    </xf>
    <xf numFmtId="0" fontId="19" fillId="0" borderId="29"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30" xfId="0" applyFont="1" applyFill="1" applyBorder="1" applyAlignment="1">
      <alignment horizontal="center" vertical="center"/>
    </xf>
    <xf numFmtId="0" fontId="19" fillId="0" borderId="48" xfId="0" applyFont="1" applyFill="1" applyBorder="1" applyAlignment="1">
      <alignment horizontal="center" vertical="center"/>
    </xf>
    <xf numFmtId="0" fontId="19" fillId="0" borderId="49" xfId="0" applyFont="1" applyFill="1" applyBorder="1" applyAlignment="1">
      <alignment horizontal="center" vertical="center"/>
    </xf>
    <xf numFmtId="0" fontId="19" fillId="0" borderId="50" xfId="0" applyFont="1" applyFill="1" applyBorder="1" applyAlignment="1">
      <alignment horizontal="center" vertical="center"/>
    </xf>
    <xf numFmtId="0" fontId="15" fillId="0" borderId="0" xfId="0" applyFont="1" applyFill="1" applyAlignment="1">
      <alignment horizontal="center" vertical="center"/>
    </xf>
    <xf numFmtId="38" fontId="7" fillId="0" borderId="0" xfId="1" applyNumberFormat="1" applyFont="1" applyFill="1" applyBorder="1" applyAlignment="1">
      <alignment horizontal="center"/>
    </xf>
    <xf numFmtId="0" fontId="0" fillId="0" borderId="25"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27"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7" fillId="0" borderId="6" xfId="0" applyFont="1" applyFill="1" applyBorder="1" applyAlignment="1" applyProtection="1">
      <alignment horizontal="center"/>
      <protection locked="0"/>
    </xf>
    <xf numFmtId="38" fontId="6" fillId="0" borderId="25" xfId="0" applyNumberFormat="1" applyFont="1" applyFill="1" applyBorder="1" applyAlignment="1">
      <alignment horizontal="center" vertical="center"/>
    </xf>
    <xf numFmtId="0" fontId="6" fillId="0" borderId="8"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12" xfId="0" applyFont="1" applyFill="1" applyBorder="1" applyAlignment="1">
      <alignment horizontal="center" vertical="center"/>
    </xf>
    <xf numFmtId="0" fontId="7" fillId="0" borderId="0" xfId="0" applyFont="1" applyFill="1" applyBorder="1" applyAlignment="1">
      <alignment horizontal="right"/>
    </xf>
    <xf numFmtId="0" fontId="7" fillId="0" borderId="16" xfId="0" applyFont="1" applyFill="1" applyBorder="1" applyAlignment="1">
      <alignment horizontal="right"/>
    </xf>
    <xf numFmtId="38" fontId="7" fillId="0" borderId="6" xfId="0" applyNumberFormat="1" applyFont="1" applyFill="1" applyBorder="1" applyAlignment="1" applyProtection="1">
      <alignment horizontal="center"/>
      <protection locked="0"/>
    </xf>
    <xf numFmtId="38" fontId="6" fillId="0" borderId="58" xfId="0" applyNumberFormat="1" applyFont="1" applyFill="1" applyBorder="1" applyAlignment="1">
      <alignment horizontal="center" vertical="center"/>
    </xf>
    <xf numFmtId="0" fontId="6" fillId="0" borderId="10"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14" xfId="0" applyFont="1" applyFill="1" applyBorder="1" applyAlignment="1">
      <alignment horizontal="center" vertical="center"/>
    </xf>
    <xf numFmtId="38" fontId="7" fillId="0" borderId="2" xfId="1" applyFont="1" applyBorder="1" applyAlignment="1"/>
    <xf numFmtId="38" fontId="7" fillId="0" borderId="3" xfId="1" applyFont="1" applyBorder="1" applyAlignment="1"/>
    <xf numFmtId="38" fontId="7" fillId="0" borderId="1" xfId="1" applyFont="1" applyBorder="1" applyAlignment="1"/>
    <xf numFmtId="0" fontId="7" fillId="0" borderId="6" xfId="0" applyFont="1" applyBorder="1" applyAlignment="1">
      <alignment horizontal="center"/>
    </xf>
    <xf numFmtId="181" fontId="33" fillId="0" borderId="2" xfId="0" applyNumberFormat="1" applyFont="1" applyBorder="1" applyAlignment="1">
      <alignment horizontal="right" vertical="top"/>
    </xf>
    <xf numFmtId="181" fontId="33" fillId="0" borderId="3" xfId="0" applyNumberFormat="1" applyFont="1" applyBorder="1" applyAlignment="1">
      <alignment horizontal="right" vertical="top"/>
    </xf>
    <xf numFmtId="181" fontId="33" fillId="0" borderId="1" xfId="0" applyNumberFormat="1" applyFont="1" applyBorder="1" applyAlignment="1">
      <alignment horizontal="right" vertical="top"/>
    </xf>
    <xf numFmtId="0" fontId="49" fillId="0" borderId="0" xfId="0" applyFont="1" applyBorder="1" applyAlignment="1">
      <alignment horizontal="left" vertical="top" wrapText="1"/>
    </xf>
    <xf numFmtId="0" fontId="50" fillId="0" borderId="0" xfId="0" applyFont="1" applyBorder="1" applyAlignment="1">
      <alignment horizontal="left" vertical="top" wrapText="1"/>
    </xf>
    <xf numFmtId="0" fontId="50" fillId="0" borderId="0" xfId="0" applyFont="1" applyAlignment="1">
      <alignment horizontal="left" vertical="top" wrapText="1"/>
    </xf>
    <xf numFmtId="0" fontId="34" fillId="3" borderId="6" xfId="0" applyFont="1" applyFill="1" applyBorder="1" applyAlignment="1" applyProtection="1">
      <alignment horizontal="center" vertical="top" shrinkToFit="1"/>
      <protection locked="0"/>
    </xf>
    <xf numFmtId="38" fontId="37" fillId="3" borderId="6" xfId="1" applyFont="1" applyFill="1" applyBorder="1" applyAlignment="1" applyProtection="1">
      <alignment vertical="top"/>
      <protection locked="0"/>
    </xf>
    <xf numFmtId="0" fontId="37" fillId="0" borderId="6" xfId="0" applyFont="1" applyBorder="1" applyAlignment="1">
      <alignment horizontal="center" vertical="top"/>
    </xf>
    <xf numFmtId="180" fontId="37" fillId="0" borderId="6" xfId="1" applyNumberFormat="1" applyFont="1" applyFill="1" applyBorder="1" applyAlignment="1" applyProtection="1">
      <alignment vertical="top"/>
      <protection locked="0"/>
    </xf>
    <xf numFmtId="0" fontId="34" fillId="0" borderId="6" xfId="0" applyFont="1" applyBorder="1" applyAlignment="1">
      <alignment horizontal="center" vertical="top"/>
    </xf>
    <xf numFmtId="0" fontId="37" fillId="0" borderId="2" xfId="0" applyFont="1" applyBorder="1" applyAlignment="1">
      <alignment vertical="top"/>
    </xf>
    <xf numFmtId="0" fontId="37" fillId="0" borderId="3" xfId="0" applyFont="1" applyBorder="1" applyAlignment="1">
      <alignment vertical="top"/>
    </xf>
    <xf numFmtId="0" fontId="37" fillId="0" borderId="1" xfId="0" applyFont="1" applyBorder="1" applyAlignment="1">
      <alignment vertical="top"/>
    </xf>
    <xf numFmtId="180" fontId="37" fillId="0" borderId="6" xfId="1" applyNumberFormat="1" applyFont="1" applyFill="1" applyBorder="1" applyAlignment="1">
      <alignment vertical="top"/>
    </xf>
    <xf numFmtId="180" fontId="37" fillId="0" borderId="2" xfId="1" applyNumberFormat="1" applyFont="1" applyFill="1" applyBorder="1" applyAlignment="1">
      <alignment vertical="top"/>
    </xf>
    <xf numFmtId="180" fontId="37" fillId="0" borderId="3" xfId="1" applyNumberFormat="1" applyFont="1" applyFill="1" applyBorder="1" applyAlignment="1">
      <alignment vertical="top"/>
    </xf>
    <xf numFmtId="180" fontId="37" fillId="0" borderId="1" xfId="1" applyNumberFormat="1" applyFont="1" applyFill="1" applyBorder="1" applyAlignment="1">
      <alignment vertical="top"/>
    </xf>
    <xf numFmtId="180" fontId="37" fillId="0" borderId="2" xfId="0" applyNumberFormat="1" applyFont="1" applyFill="1" applyBorder="1" applyAlignment="1">
      <alignment vertical="top"/>
    </xf>
    <xf numFmtId="180" fontId="37" fillId="0" borderId="3" xfId="0" applyNumberFormat="1" applyFont="1" applyFill="1" applyBorder="1" applyAlignment="1">
      <alignment vertical="top"/>
    </xf>
    <xf numFmtId="180" fontId="37" fillId="0" borderId="1" xfId="0" applyNumberFormat="1" applyFont="1" applyFill="1" applyBorder="1" applyAlignment="1">
      <alignment vertical="top"/>
    </xf>
    <xf numFmtId="0" fontId="37" fillId="0" borderId="6" xfId="0" applyFont="1" applyBorder="1" applyAlignment="1">
      <alignment vertical="top"/>
    </xf>
    <xf numFmtId="38" fontId="37" fillId="0" borderId="6" xfId="1" applyFont="1" applyBorder="1" applyAlignment="1">
      <alignment horizontal="center" vertical="top"/>
    </xf>
    <xf numFmtId="0" fontId="37" fillId="0" borderId="7" xfId="0" applyFont="1" applyBorder="1" applyAlignment="1">
      <alignment horizontal="center" vertical="top"/>
    </xf>
    <xf numFmtId="0" fontId="51" fillId="0" borderId="29" xfId="0" applyFont="1" applyBorder="1" applyAlignment="1">
      <alignment horizontal="center" vertical="top"/>
    </xf>
    <xf numFmtId="0" fontId="51" fillId="0" borderId="5" xfId="0" applyFont="1" applyBorder="1" applyAlignment="1">
      <alignment horizontal="center" vertical="top"/>
    </xf>
    <xf numFmtId="0" fontId="51" fillId="0" borderId="30" xfId="0" applyFont="1" applyBorder="1" applyAlignment="1">
      <alignment horizontal="center" vertical="top"/>
    </xf>
    <xf numFmtId="0" fontId="51" fillId="0" borderId="48" xfId="0" applyFont="1" applyBorder="1" applyAlignment="1">
      <alignment horizontal="center" vertical="top"/>
    </xf>
    <xf numFmtId="0" fontId="51" fillId="0" borderId="49" xfId="0" applyFont="1" applyBorder="1" applyAlignment="1">
      <alignment horizontal="center" vertical="top"/>
    </xf>
    <xf numFmtId="0" fontId="51" fillId="0" borderId="50" xfId="0" applyFont="1" applyBorder="1" applyAlignment="1">
      <alignment horizontal="center" vertical="top"/>
    </xf>
    <xf numFmtId="0" fontId="37" fillId="0" borderId="2" xfId="0" applyFont="1" applyBorder="1" applyAlignment="1">
      <alignment horizontal="center" vertical="top"/>
    </xf>
    <xf numFmtId="0" fontId="37" fillId="0" borderId="3" xfId="0" applyFont="1" applyBorder="1" applyAlignment="1">
      <alignment horizontal="center" vertical="top"/>
    </xf>
    <xf numFmtId="0" fontId="37" fillId="0" borderId="1" xfId="0" applyFont="1" applyBorder="1" applyAlignment="1">
      <alignment horizontal="center" vertical="top"/>
    </xf>
    <xf numFmtId="38" fontId="37" fillId="0" borderId="6" xfId="1" applyFont="1" applyBorder="1" applyAlignment="1">
      <alignment vertical="top"/>
    </xf>
    <xf numFmtId="180" fontId="37" fillId="0" borderId="2" xfId="0" applyNumberFormat="1" applyFont="1" applyBorder="1" applyAlignment="1">
      <alignment vertical="top"/>
    </xf>
    <xf numFmtId="38" fontId="37" fillId="0" borderId="2" xfId="1" applyFont="1" applyFill="1" applyBorder="1" applyAlignment="1" applyProtection="1">
      <alignment horizontal="center" vertical="top"/>
    </xf>
    <xf numFmtId="38" fontId="37" fillId="0" borderId="3" xfId="1" applyFont="1" applyFill="1" applyBorder="1" applyAlignment="1" applyProtection="1">
      <alignment horizontal="center" vertical="top"/>
    </xf>
    <xf numFmtId="38" fontId="37" fillId="0" borderId="1" xfId="1" applyFont="1" applyFill="1" applyBorder="1" applyAlignment="1" applyProtection="1">
      <alignment horizontal="center" vertical="top"/>
    </xf>
    <xf numFmtId="38" fontId="34" fillId="3" borderId="56" xfId="0" applyNumberFormat="1" applyFont="1" applyFill="1" applyBorder="1" applyAlignment="1" applyProtection="1">
      <alignment horizontal="center" vertical="top"/>
      <protection locked="0"/>
    </xf>
    <xf numFmtId="38" fontId="34" fillId="3" borderId="57" xfId="0" applyNumberFormat="1" applyFont="1" applyFill="1" applyBorder="1" applyAlignment="1" applyProtection="1">
      <alignment horizontal="center" vertical="top"/>
      <protection locked="0"/>
    </xf>
    <xf numFmtId="0" fontId="38" fillId="0" borderId="0" xfId="0" applyFont="1" applyAlignment="1">
      <alignment horizontal="center" vertical="top"/>
    </xf>
    <xf numFmtId="0" fontId="37" fillId="3" borderId="2" xfId="0" applyFont="1" applyFill="1" applyBorder="1" applyAlignment="1" applyProtection="1">
      <alignment horizontal="center" vertical="top" shrinkToFit="1"/>
      <protection locked="0"/>
    </xf>
    <xf numFmtId="0" fontId="37" fillId="3" borderId="3" xfId="0" applyFont="1" applyFill="1" applyBorder="1" applyAlignment="1" applyProtection="1">
      <alignment horizontal="center" vertical="top" shrinkToFit="1"/>
      <protection locked="0"/>
    </xf>
    <xf numFmtId="0" fontId="37" fillId="3" borderId="1" xfId="0" applyFont="1" applyFill="1" applyBorder="1" applyAlignment="1" applyProtection="1">
      <alignment horizontal="center" vertical="top" shrinkToFit="1"/>
      <protection locked="0"/>
    </xf>
    <xf numFmtId="0" fontId="41" fillId="0" borderId="29" xfId="0" applyFont="1" applyBorder="1" applyAlignment="1">
      <alignment horizontal="center" vertical="top" shrinkToFit="1"/>
    </xf>
    <xf numFmtId="0" fontId="41" fillId="0" borderId="5" xfId="0" applyFont="1" applyBorder="1" applyAlignment="1">
      <alignment horizontal="center" vertical="top" shrinkToFit="1"/>
    </xf>
    <xf numFmtId="0" fontId="41" fillId="0" borderId="30" xfId="0" applyFont="1" applyBorder="1" applyAlignment="1">
      <alignment horizontal="center" vertical="top" shrinkToFit="1"/>
    </xf>
    <xf numFmtId="0" fontId="41" fillId="0" borderId="47" xfId="0" applyFont="1" applyBorder="1" applyAlignment="1">
      <alignment horizontal="center" vertical="top" shrinkToFit="1"/>
    </xf>
    <xf numFmtId="0" fontId="41" fillId="0" borderId="0" xfId="0" applyFont="1" applyBorder="1" applyAlignment="1">
      <alignment horizontal="center" vertical="top" shrinkToFit="1"/>
    </xf>
    <xf numFmtId="0" fontId="41" fillId="0" borderId="4" xfId="0" applyFont="1" applyBorder="1" applyAlignment="1">
      <alignment horizontal="center" vertical="top" shrinkToFit="1"/>
    </xf>
    <xf numFmtId="0" fontId="41" fillId="0" borderId="48" xfId="0" applyFont="1" applyBorder="1" applyAlignment="1">
      <alignment horizontal="center" vertical="top" shrinkToFit="1"/>
    </xf>
    <xf numFmtId="0" fontId="41" fillId="0" borderId="49" xfId="0" applyFont="1" applyBorder="1" applyAlignment="1">
      <alignment horizontal="center" vertical="top" shrinkToFit="1"/>
    </xf>
    <xf numFmtId="0" fontId="41" fillId="0" borderId="50" xfId="0" applyFont="1" applyBorder="1" applyAlignment="1">
      <alignment horizontal="center" vertical="top" shrinkToFit="1"/>
    </xf>
    <xf numFmtId="0" fontId="34" fillId="0" borderId="51" xfId="0" applyFont="1" applyBorder="1" applyAlignment="1">
      <alignment horizontal="center" vertical="top" shrinkToFit="1"/>
    </xf>
    <xf numFmtId="0" fontId="34" fillId="0" borderId="5" xfId="0" applyFont="1" applyBorder="1" applyAlignment="1">
      <alignment horizontal="center" vertical="top" shrinkToFit="1"/>
    </xf>
    <xf numFmtId="0" fontId="34" fillId="0" borderId="52" xfId="0" applyFont="1" applyBorder="1" applyAlignment="1">
      <alignment horizontal="center" vertical="top" shrinkToFit="1"/>
    </xf>
    <xf numFmtId="0" fontId="34" fillId="0" borderId="27" xfId="0" applyFont="1" applyBorder="1" applyAlignment="1">
      <alignment horizontal="center" vertical="top" shrinkToFit="1"/>
    </xf>
    <xf numFmtId="0" fontId="34" fillId="0" borderId="12" xfId="0" applyFont="1" applyBorder="1" applyAlignment="1">
      <alignment horizontal="center" vertical="top" shrinkToFit="1"/>
    </xf>
    <xf numFmtId="0" fontId="34" fillId="0" borderId="13" xfId="0" applyFont="1" applyBorder="1" applyAlignment="1">
      <alignment horizontal="center" vertical="top" shrinkToFit="1"/>
    </xf>
    <xf numFmtId="177" fontId="40" fillId="0" borderId="51" xfId="0" applyNumberFormat="1" applyFont="1" applyFill="1" applyBorder="1" applyAlignment="1" applyProtection="1">
      <alignment vertical="top"/>
      <protection locked="0"/>
    </xf>
    <xf numFmtId="177" fontId="40" fillId="0" borderId="30" xfId="0" applyNumberFormat="1" applyFont="1" applyFill="1" applyBorder="1" applyAlignment="1" applyProtection="1">
      <alignment vertical="top"/>
      <protection locked="0"/>
    </xf>
    <xf numFmtId="177" fontId="40" fillId="0" borderId="27" xfId="0" applyNumberFormat="1" applyFont="1" applyFill="1" applyBorder="1" applyAlignment="1" applyProtection="1">
      <alignment vertical="top"/>
      <protection locked="0"/>
    </xf>
    <xf numFmtId="177" fontId="40" fillId="0" borderId="32" xfId="0" applyNumberFormat="1" applyFont="1" applyFill="1" applyBorder="1" applyAlignment="1" applyProtection="1">
      <alignment vertical="top"/>
      <protection locked="0"/>
    </xf>
    <xf numFmtId="0" fontId="34" fillId="3" borderId="2" xfId="0" applyFont="1" applyFill="1" applyBorder="1" applyAlignment="1" applyProtection="1">
      <alignment horizontal="center" vertical="top" shrinkToFit="1"/>
      <protection locked="0"/>
    </xf>
    <xf numFmtId="0" fontId="34" fillId="3" borderId="3" xfId="0" applyFont="1" applyFill="1" applyBorder="1" applyAlignment="1" applyProtection="1">
      <alignment horizontal="center" vertical="top" shrinkToFit="1"/>
      <protection locked="0"/>
    </xf>
    <xf numFmtId="0" fontId="34" fillId="3" borderId="1" xfId="0" applyFont="1" applyFill="1" applyBorder="1" applyAlignment="1" applyProtection="1">
      <alignment horizontal="center" vertical="top" shrinkToFit="1"/>
      <protection locked="0"/>
    </xf>
    <xf numFmtId="0" fontId="46" fillId="0" borderId="0" xfId="0" applyFont="1" applyAlignment="1">
      <alignment horizontal="center" vertical="top" wrapText="1"/>
    </xf>
    <xf numFmtId="38" fontId="37" fillId="0" borderId="6" xfId="1" applyFont="1" applyFill="1" applyBorder="1" applyAlignment="1" applyProtection="1">
      <alignment horizontal="center" vertical="top"/>
    </xf>
    <xf numFmtId="0" fontId="34" fillId="9" borderId="2" xfId="0" applyFont="1" applyFill="1" applyBorder="1" applyAlignment="1" applyProtection="1">
      <alignment horizontal="center" vertical="top" shrinkToFit="1"/>
      <protection locked="0"/>
    </xf>
    <xf numFmtId="0" fontId="34" fillId="9" borderId="3" xfId="0" applyFont="1" applyFill="1" applyBorder="1" applyAlignment="1" applyProtection="1">
      <alignment horizontal="center" vertical="top" shrinkToFit="1"/>
      <protection locked="0"/>
    </xf>
    <xf numFmtId="0" fontId="34" fillId="9" borderId="1" xfId="0" applyFont="1" applyFill="1" applyBorder="1" applyAlignment="1" applyProtection="1">
      <alignment horizontal="center" vertical="top" shrinkToFit="1"/>
      <protection locked="0"/>
    </xf>
    <xf numFmtId="0" fontId="34" fillId="9" borderId="2" xfId="0" applyFont="1" applyFill="1" applyBorder="1" applyAlignment="1" applyProtection="1">
      <alignment horizontal="center" vertical="top"/>
      <protection locked="0"/>
    </xf>
    <xf numFmtId="0" fontId="34" fillId="9" borderId="3" xfId="0" applyFont="1" applyFill="1" applyBorder="1" applyAlignment="1" applyProtection="1">
      <alignment horizontal="center" vertical="top"/>
      <protection locked="0"/>
    </xf>
    <xf numFmtId="0" fontId="34" fillId="9" borderId="1" xfId="0" applyFont="1" applyFill="1" applyBorder="1" applyAlignment="1" applyProtection="1">
      <alignment horizontal="center" vertical="top"/>
      <protection locked="0"/>
    </xf>
    <xf numFmtId="38" fontId="37" fillId="9" borderId="6" xfId="1" applyFont="1" applyFill="1" applyBorder="1" applyAlignment="1" applyProtection="1">
      <alignment vertical="top"/>
      <protection locked="0"/>
    </xf>
    <xf numFmtId="0" fontId="39" fillId="0" borderId="29" xfId="0" applyFont="1" applyBorder="1" applyAlignment="1">
      <alignment horizontal="center" vertical="top"/>
    </xf>
    <xf numFmtId="0" fontId="39" fillId="0" borderId="5" xfId="0" applyFont="1" applyBorder="1" applyAlignment="1">
      <alignment horizontal="center" vertical="top"/>
    </xf>
    <xf numFmtId="0" fontId="39" fillId="0" borderId="47" xfId="0" applyFont="1" applyBorder="1" applyAlignment="1">
      <alignment horizontal="center" vertical="top"/>
    </xf>
    <xf numFmtId="0" fontId="39" fillId="0" borderId="0" xfId="0" applyFont="1" applyBorder="1" applyAlignment="1">
      <alignment horizontal="center" vertical="top"/>
    </xf>
    <xf numFmtId="0" fontId="39" fillId="0" borderId="48" xfId="0" applyFont="1" applyBorder="1" applyAlignment="1">
      <alignment horizontal="center" vertical="top"/>
    </xf>
    <xf numFmtId="0" fontId="39" fillId="0" borderId="49" xfId="0" applyFont="1" applyBorder="1" applyAlignment="1">
      <alignment horizontal="center" vertical="top"/>
    </xf>
    <xf numFmtId="0" fontId="42" fillId="0" borderId="25" xfId="0" applyFont="1" applyBorder="1" applyAlignment="1">
      <alignment horizontal="center" vertical="top"/>
    </xf>
    <xf numFmtId="0" fontId="42" fillId="0" borderId="8" xfId="0" applyFont="1" applyBorder="1" applyAlignment="1">
      <alignment horizontal="center" vertical="top"/>
    </xf>
    <xf numFmtId="0" fontId="42" fillId="0" borderId="9" xfId="0" applyFont="1" applyBorder="1" applyAlignment="1">
      <alignment horizontal="center" vertical="top"/>
    </xf>
    <xf numFmtId="0" fontId="42" fillId="0" borderId="53" xfId="0" applyFont="1" applyBorder="1" applyAlignment="1">
      <alignment horizontal="center" vertical="top"/>
    </xf>
    <xf numFmtId="0" fontId="42" fillId="0" borderId="49" xfId="0" applyFont="1" applyBorder="1" applyAlignment="1">
      <alignment horizontal="center" vertical="top"/>
    </xf>
    <xf numFmtId="0" fontId="42" fillId="0" borderId="54" xfId="0" applyFont="1" applyBorder="1" applyAlignment="1">
      <alignment horizontal="center" vertical="top"/>
    </xf>
    <xf numFmtId="177" fontId="40" fillId="0" borderId="25" xfId="0" applyNumberFormat="1" applyFont="1" applyBorder="1" applyAlignment="1">
      <alignment vertical="top"/>
    </xf>
    <xf numFmtId="177" fontId="40" fillId="0" borderId="55" xfId="0" applyNumberFormat="1" applyFont="1" applyBorder="1" applyAlignment="1">
      <alignment vertical="top"/>
    </xf>
    <xf numFmtId="177" fontId="40" fillId="0" borderId="53" xfId="0" applyNumberFormat="1" applyFont="1" applyBorder="1" applyAlignment="1">
      <alignment vertical="top"/>
    </xf>
    <xf numFmtId="177" fontId="40" fillId="0" borderId="50" xfId="0" applyNumberFormat="1" applyFont="1" applyBorder="1" applyAlignment="1">
      <alignment vertical="top"/>
    </xf>
    <xf numFmtId="0" fontId="34" fillId="3" borderId="56" xfId="0" applyFont="1" applyFill="1" applyBorder="1" applyAlignment="1" applyProtection="1">
      <alignment horizontal="center" vertical="top"/>
      <protection locked="0"/>
    </xf>
    <xf numFmtId="0" fontId="34" fillId="3" borderId="57" xfId="0" applyFont="1" applyFill="1" applyBorder="1" applyAlignment="1" applyProtection="1">
      <alignment horizontal="center" vertical="top"/>
      <protection locked="0"/>
    </xf>
    <xf numFmtId="38" fontId="37" fillId="0" borderId="6" xfId="1" applyFont="1" applyFill="1" applyBorder="1" applyAlignment="1">
      <alignment vertical="top"/>
    </xf>
    <xf numFmtId="38" fontId="37" fillId="0" borderId="2" xfId="1" applyFont="1" applyBorder="1" applyAlignment="1">
      <alignment vertical="top"/>
    </xf>
    <xf numFmtId="38" fontId="37" fillId="0" borderId="3" xfId="1" applyFont="1" applyBorder="1" applyAlignment="1">
      <alignment vertical="top"/>
    </xf>
    <xf numFmtId="38" fontId="37" fillId="0" borderId="1" xfId="1" applyFont="1" applyBorder="1" applyAlignment="1">
      <alignment vertical="top"/>
    </xf>
    <xf numFmtId="0" fontId="46" fillId="0" borderId="0" xfId="0" applyFont="1" applyBorder="1" applyAlignment="1">
      <alignment horizontal="center" vertical="top"/>
    </xf>
    <xf numFmtId="38" fontId="37" fillId="0" borderId="58" xfId="0" applyNumberFormat="1" applyFont="1" applyBorder="1" applyAlignment="1">
      <alignment horizontal="right" vertical="center" shrinkToFit="1"/>
    </xf>
    <xf numFmtId="38" fontId="37" fillId="0" borderId="10" xfId="0" applyNumberFormat="1" applyFont="1" applyBorder="1" applyAlignment="1">
      <alignment horizontal="right" vertical="center" shrinkToFit="1"/>
    </xf>
    <xf numFmtId="38" fontId="37" fillId="0" borderId="59" xfId="0" applyNumberFormat="1" applyFont="1" applyBorder="1" applyAlignment="1">
      <alignment horizontal="right" vertical="center" shrinkToFit="1"/>
    </xf>
    <xf numFmtId="38" fontId="37" fillId="0" borderId="14" xfId="0" applyNumberFormat="1" applyFont="1" applyBorder="1" applyAlignment="1">
      <alignment horizontal="right" vertical="center" shrinkToFit="1"/>
    </xf>
    <xf numFmtId="38" fontId="7" fillId="0" borderId="2" xfId="0" applyNumberFormat="1" applyFont="1" applyBorder="1" applyAlignment="1"/>
    <xf numFmtId="0" fontId="7" fillId="0" borderId="3" xfId="0" applyFont="1" applyBorder="1" applyAlignment="1"/>
    <xf numFmtId="0" fontId="7" fillId="0" borderId="1" xfId="0" applyFont="1" applyBorder="1" applyAlignment="1"/>
    <xf numFmtId="38" fontId="7" fillId="0" borderId="6" xfId="0" applyNumberFormat="1" applyFont="1" applyBorder="1" applyAlignment="1" applyProtection="1">
      <alignment horizontal="right"/>
      <protection locked="0"/>
    </xf>
    <xf numFmtId="0" fontId="7" fillId="0" borderId="6" xfId="0" applyFont="1" applyBorder="1" applyAlignment="1" applyProtection="1">
      <alignment horizontal="right"/>
      <protection locked="0"/>
    </xf>
    <xf numFmtId="0" fontId="7" fillId="0" borderId="6" xfId="0" applyFont="1" applyBorder="1" applyAlignment="1" applyProtection="1">
      <alignment horizontal="center"/>
    </xf>
    <xf numFmtId="0" fontId="7" fillId="0" borderId="43" xfId="0" applyFont="1" applyBorder="1" applyAlignment="1"/>
    <xf numFmtId="0" fontId="7" fillId="0" borderId="42" xfId="0" applyFont="1" applyBorder="1" applyAlignment="1"/>
    <xf numFmtId="0" fontId="7" fillId="0" borderId="2" xfId="0" applyFont="1" applyBorder="1" applyAlignment="1"/>
    <xf numFmtId="38" fontId="7" fillId="0" borderId="43" xfId="0" applyNumberFormat="1" applyFont="1" applyBorder="1" applyAlignment="1"/>
    <xf numFmtId="0" fontId="7" fillId="0" borderId="63" xfId="0" applyFont="1" applyBorder="1" applyAlignment="1">
      <alignment horizontal="center"/>
    </xf>
    <xf numFmtId="0" fontId="7" fillId="0" borderId="64" xfId="0" applyFont="1" applyBorder="1" applyAlignment="1">
      <alignment horizontal="center"/>
    </xf>
    <xf numFmtId="0" fontId="7" fillId="0" borderId="65" xfId="0" applyFont="1" applyBorder="1" applyAlignment="1">
      <alignment horizontal="center"/>
    </xf>
    <xf numFmtId="0" fontId="7" fillId="0" borderId="16" xfId="0" applyFont="1" applyBorder="1" applyAlignment="1">
      <alignment horizontal="center"/>
    </xf>
    <xf numFmtId="0" fontId="7" fillId="0" borderId="69" xfId="0" applyFont="1" applyBorder="1" applyAlignment="1">
      <alignment horizontal="center"/>
    </xf>
    <xf numFmtId="0" fontId="7" fillId="0" borderId="26" xfId="0" applyFont="1" applyBorder="1" applyAlignment="1">
      <alignment horizontal="center"/>
    </xf>
    <xf numFmtId="0" fontId="7" fillId="0" borderId="70" xfId="0" applyFont="1" applyFill="1" applyBorder="1" applyAlignment="1">
      <alignment horizontal="center"/>
    </xf>
    <xf numFmtId="0" fontId="7" fillId="0" borderId="69" xfId="0" applyFont="1" applyFill="1" applyBorder="1" applyAlignment="1">
      <alignment horizontal="center"/>
    </xf>
    <xf numFmtId="0" fontId="7" fillId="0" borderId="71" xfId="0" applyFont="1" applyFill="1" applyBorder="1" applyAlignment="1">
      <alignment horizontal="center"/>
    </xf>
    <xf numFmtId="38" fontId="7" fillId="0" borderId="7" xfId="0" applyNumberFormat="1" applyFont="1" applyBorder="1" applyAlignment="1"/>
    <xf numFmtId="0" fontId="7" fillId="0" borderId="7" xfId="0" applyFont="1" applyBorder="1" applyAlignment="1"/>
    <xf numFmtId="0" fontId="7" fillId="0" borderId="25" xfId="0" applyFont="1" applyBorder="1" applyAlignment="1"/>
    <xf numFmtId="38" fontId="7" fillId="0" borderId="61" xfId="0" applyNumberFormat="1" applyFont="1" applyBorder="1" applyAlignment="1"/>
    <xf numFmtId="0" fontId="7" fillId="0" borderId="62" xfId="0" applyFont="1" applyBorder="1" applyAlignment="1"/>
    <xf numFmtId="0" fontId="7" fillId="0" borderId="61" xfId="0" applyFont="1" applyBorder="1" applyAlignment="1"/>
    <xf numFmtId="38" fontId="7" fillId="0" borderId="66" xfId="1" applyFont="1" applyBorder="1" applyAlignment="1"/>
    <xf numFmtId="38" fontId="7" fillId="0" borderId="67" xfId="1" applyFont="1" applyBorder="1" applyAlignment="1"/>
    <xf numFmtId="38" fontId="7" fillId="0" borderId="68" xfId="1" applyFont="1" applyBorder="1" applyAlignment="1"/>
    <xf numFmtId="38" fontId="7" fillId="0" borderId="1" xfId="0" applyNumberFormat="1" applyFont="1" applyBorder="1" applyAlignment="1"/>
    <xf numFmtId="38" fontId="7" fillId="0" borderId="56" xfId="1" applyFont="1" applyBorder="1" applyAlignment="1"/>
    <xf numFmtId="38" fontId="7" fillId="0" borderId="57" xfId="1" applyFont="1" applyBorder="1" applyAlignment="1"/>
    <xf numFmtId="0" fontId="15" fillId="0" borderId="0" xfId="0" applyFont="1" applyFill="1" applyBorder="1" applyAlignment="1">
      <alignment horizontal="center" vertical="center"/>
    </xf>
    <xf numFmtId="38" fontId="7" fillId="0" borderId="9" xfId="0" applyNumberFormat="1" applyFont="1" applyBorder="1" applyAlignment="1"/>
    <xf numFmtId="38" fontId="7" fillId="0" borderId="0" xfId="0" applyNumberFormat="1" applyFont="1" applyAlignment="1"/>
    <xf numFmtId="0" fontId="7" fillId="0" borderId="0" xfId="0" applyFont="1" applyAlignment="1"/>
    <xf numFmtId="0" fontId="7" fillId="0" borderId="42" xfId="0" applyFont="1" applyBorder="1" applyAlignment="1" applyProtection="1">
      <alignment horizontal="right"/>
      <protection locked="0"/>
    </xf>
    <xf numFmtId="38" fontId="7" fillId="0" borderId="7" xfId="0" applyNumberFormat="1" applyFont="1" applyBorder="1" applyAlignment="1" applyProtection="1">
      <alignment horizontal="right"/>
      <protection locked="0"/>
    </xf>
    <xf numFmtId="0" fontId="7" fillId="0" borderId="7" xfId="0" applyFont="1" applyBorder="1" applyAlignment="1" applyProtection="1">
      <alignment horizontal="right"/>
      <protection locked="0"/>
    </xf>
    <xf numFmtId="0" fontId="7" fillId="0" borderId="62" xfId="0" applyFont="1" applyBorder="1" applyAlignment="1" applyProtection="1">
      <alignment horizontal="right"/>
      <protection locked="0"/>
    </xf>
    <xf numFmtId="38" fontId="7" fillId="0" borderId="64" xfId="0" applyNumberFormat="1" applyFont="1" applyBorder="1" applyAlignment="1" applyProtection="1">
      <alignment horizontal="right"/>
      <protection locked="0"/>
    </xf>
    <xf numFmtId="0" fontId="7" fillId="0" borderId="64" xfId="0" applyFont="1" applyBorder="1" applyAlignment="1" applyProtection="1">
      <alignment horizontal="right"/>
      <protection locked="0"/>
    </xf>
    <xf numFmtId="0" fontId="7" fillId="0" borderId="65" xfId="0" applyFont="1" applyBorder="1" applyAlignment="1" applyProtection="1">
      <alignment horizontal="right"/>
      <protection locked="0"/>
    </xf>
    <xf numFmtId="0" fontId="7" fillId="0" borderId="40" xfId="0" applyFont="1" applyBorder="1" applyAlignment="1" applyProtection="1">
      <alignment horizontal="center"/>
    </xf>
    <xf numFmtId="0" fontId="7" fillId="0" borderId="41" xfId="0" applyFont="1" applyBorder="1" applyAlignment="1" applyProtection="1">
      <alignment horizontal="center"/>
    </xf>
  </cellXfs>
  <cellStyles count="3">
    <cellStyle name="桁区切り" xfId="1" builtinId="6"/>
    <cellStyle name="通貨" xfId="2" builtinId="7"/>
    <cellStyle name="標準" xfId="0" builtinId="0"/>
  </cellStyles>
  <dxfs count="0"/>
  <tableStyles count="0" defaultTableStyle="TableStyleMedium9" defaultPivotStyle="PivotStyleLight16"/>
  <colors>
    <mruColors>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30</xdr:col>
      <xdr:colOff>202659</xdr:colOff>
      <xdr:row>2</xdr:row>
      <xdr:rowOff>8105</xdr:rowOff>
    </xdr:from>
    <xdr:to>
      <xdr:col>52</xdr:col>
      <xdr:colOff>217349</xdr:colOff>
      <xdr:row>44</xdr:row>
      <xdr:rowOff>113858</xdr:rowOff>
    </xdr:to>
    <xdr:grpSp>
      <xdr:nvGrpSpPr>
        <xdr:cNvPr id="2" name="グループ化 1">
          <a:extLst>
            <a:ext uri="{FF2B5EF4-FFF2-40B4-BE49-F238E27FC236}">
              <a16:creationId xmlns:a16="http://schemas.microsoft.com/office/drawing/2014/main" id="{537F7915-0E2A-405B-9C49-E8EE7ACAF9C2}"/>
            </a:ext>
          </a:extLst>
        </xdr:cNvPr>
        <xdr:cNvGrpSpPr/>
      </xdr:nvGrpSpPr>
      <xdr:grpSpPr>
        <a:xfrm>
          <a:off x="7887510" y="275616"/>
          <a:ext cx="5008222" cy="7206944"/>
          <a:chOff x="7895616" y="429638"/>
          <a:chExt cx="5008222" cy="7596051"/>
        </a:xfrm>
      </xdr:grpSpPr>
      <xdr:pic>
        <xdr:nvPicPr>
          <xdr:cNvPr id="7" name="図 6">
            <a:extLst>
              <a:ext uri="{FF2B5EF4-FFF2-40B4-BE49-F238E27FC236}">
                <a16:creationId xmlns:a16="http://schemas.microsoft.com/office/drawing/2014/main" id="{5FEAC24F-7DA6-410D-8AD0-0C86744104F7}"/>
              </a:ext>
            </a:extLst>
          </xdr:cNvPr>
          <xdr:cNvPicPr>
            <a:picLocks noChangeAspect="1"/>
          </xdr:cNvPicPr>
        </xdr:nvPicPr>
        <xdr:blipFill>
          <a:blip xmlns:r="http://schemas.openxmlformats.org/officeDocument/2006/relationships" r:embed="rId1"/>
          <a:stretch>
            <a:fillRect/>
          </a:stretch>
        </xdr:blipFill>
        <xdr:spPr>
          <a:xfrm>
            <a:off x="7919937" y="2788596"/>
            <a:ext cx="4823298" cy="5237093"/>
          </a:xfrm>
          <a:prstGeom prst="rect">
            <a:avLst/>
          </a:prstGeom>
        </xdr:spPr>
      </xdr:pic>
      <xdr:pic>
        <xdr:nvPicPr>
          <xdr:cNvPr id="3" name="図 2">
            <a:extLst>
              <a:ext uri="{FF2B5EF4-FFF2-40B4-BE49-F238E27FC236}">
                <a16:creationId xmlns:a16="http://schemas.microsoft.com/office/drawing/2014/main" id="{E6AAFE2D-B90C-4ABC-A54F-D68FCB8511F1}"/>
              </a:ext>
            </a:extLst>
          </xdr:cNvPr>
          <xdr:cNvPicPr>
            <a:picLocks noChangeAspect="1"/>
          </xdr:cNvPicPr>
        </xdr:nvPicPr>
        <xdr:blipFill>
          <a:blip xmlns:r="http://schemas.openxmlformats.org/officeDocument/2006/relationships" r:embed="rId2"/>
          <a:stretch>
            <a:fillRect/>
          </a:stretch>
        </xdr:blipFill>
        <xdr:spPr>
          <a:xfrm>
            <a:off x="7895616" y="429638"/>
            <a:ext cx="5008222" cy="1515894"/>
          </a:xfrm>
          <a:prstGeom prst="rect">
            <a:avLst/>
          </a:prstGeom>
        </xdr:spPr>
      </xdr:pic>
      <xdr:sp macro="" textlink="">
        <xdr:nvSpPr>
          <xdr:cNvPr id="4" name="四角形: 角を丸くする 3">
            <a:extLst>
              <a:ext uri="{FF2B5EF4-FFF2-40B4-BE49-F238E27FC236}">
                <a16:creationId xmlns:a16="http://schemas.microsoft.com/office/drawing/2014/main" id="{9FAFF72B-03B2-45FE-9D53-8F7004C80C44}"/>
              </a:ext>
            </a:extLst>
          </xdr:cNvPr>
          <xdr:cNvSpPr/>
        </xdr:nvSpPr>
        <xdr:spPr>
          <a:xfrm>
            <a:off x="10003277" y="1499681"/>
            <a:ext cx="980872" cy="437746"/>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23041B0A-642C-4164-AB3D-08D85D326354}"/>
              </a:ext>
            </a:extLst>
          </xdr:cNvPr>
          <xdr:cNvSpPr/>
        </xdr:nvSpPr>
        <xdr:spPr>
          <a:xfrm>
            <a:off x="8001000" y="5828489"/>
            <a:ext cx="2269786" cy="180772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114300</xdr:colOff>
      <xdr:row>9</xdr:row>
      <xdr:rowOff>85725</xdr:rowOff>
    </xdr:from>
    <xdr:to>
      <xdr:col>26</xdr:col>
      <xdr:colOff>114300</xdr:colOff>
      <xdr:row>28</xdr:row>
      <xdr:rowOff>123825</xdr:rowOff>
    </xdr:to>
    <xdr:sp macro="" textlink="">
      <xdr:nvSpPr>
        <xdr:cNvPr id="25800" name="Line 24">
          <a:extLst>
            <a:ext uri="{FF2B5EF4-FFF2-40B4-BE49-F238E27FC236}">
              <a16:creationId xmlns:a16="http://schemas.microsoft.com/office/drawing/2014/main" id="{00000000-0008-0000-0200-0000C8640000}"/>
            </a:ext>
          </a:extLst>
        </xdr:cNvPr>
        <xdr:cNvSpPr>
          <a:spLocks noChangeShapeType="1"/>
        </xdr:cNvSpPr>
      </xdr:nvSpPr>
      <xdr:spPr bwMode="auto">
        <a:xfrm flipH="1">
          <a:off x="5667375" y="1809750"/>
          <a:ext cx="0" cy="33147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171450</xdr:colOff>
      <xdr:row>9</xdr:row>
      <xdr:rowOff>85725</xdr:rowOff>
    </xdr:from>
    <xdr:to>
      <xdr:col>26</xdr:col>
      <xdr:colOff>190500</xdr:colOff>
      <xdr:row>9</xdr:row>
      <xdr:rowOff>85725</xdr:rowOff>
    </xdr:to>
    <xdr:sp macro="" textlink="">
      <xdr:nvSpPr>
        <xdr:cNvPr id="25801" name="Line 25">
          <a:extLst>
            <a:ext uri="{FF2B5EF4-FFF2-40B4-BE49-F238E27FC236}">
              <a16:creationId xmlns:a16="http://schemas.microsoft.com/office/drawing/2014/main" id="{00000000-0008-0000-0200-0000C9640000}"/>
            </a:ext>
          </a:extLst>
        </xdr:cNvPr>
        <xdr:cNvSpPr>
          <a:spLocks noChangeShapeType="1"/>
        </xdr:cNvSpPr>
      </xdr:nvSpPr>
      <xdr:spPr bwMode="auto">
        <a:xfrm flipH="1" flipV="1">
          <a:off x="1114425" y="1809750"/>
          <a:ext cx="462915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9</xdr:row>
      <xdr:rowOff>85725</xdr:rowOff>
    </xdr:from>
    <xdr:to>
      <xdr:col>31</xdr:col>
      <xdr:colOff>133350</xdr:colOff>
      <xdr:row>28</xdr:row>
      <xdr:rowOff>123825</xdr:rowOff>
    </xdr:to>
    <xdr:sp macro="" textlink="">
      <xdr:nvSpPr>
        <xdr:cNvPr id="25802" name="Freeform 30">
          <a:extLst>
            <a:ext uri="{FF2B5EF4-FFF2-40B4-BE49-F238E27FC236}">
              <a16:creationId xmlns:a16="http://schemas.microsoft.com/office/drawing/2014/main" id="{00000000-0008-0000-0200-0000CA640000}"/>
            </a:ext>
          </a:extLst>
        </xdr:cNvPr>
        <xdr:cNvSpPr>
          <a:spLocks/>
        </xdr:cNvSpPr>
      </xdr:nvSpPr>
      <xdr:spPr bwMode="auto">
        <a:xfrm>
          <a:off x="390525" y="1809750"/>
          <a:ext cx="6343650" cy="3314700"/>
        </a:xfrm>
        <a:custGeom>
          <a:avLst/>
          <a:gdLst>
            <a:gd name="T0" fmla="*/ 2147483647 w 697"/>
            <a:gd name="T1" fmla="*/ 0 h 263"/>
            <a:gd name="T2" fmla="*/ 0 w 697"/>
            <a:gd name="T3" fmla="*/ 0 h 263"/>
            <a:gd name="T4" fmla="*/ 0 w 697"/>
            <a:gd name="T5" fmla="*/ 2147483647 h 263"/>
            <a:gd name="T6" fmla="*/ 2147483647 w 697"/>
            <a:gd name="T7" fmla="*/ 2147483647 h 263"/>
            <a:gd name="T8" fmla="*/ 2147483647 w 697"/>
            <a:gd name="T9" fmla="*/ 0 h 263"/>
            <a:gd name="T10" fmla="*/ 2147483647 w 697"/>
            <a:gd name="T11" fmla="*/ 0 h 263"/>
            <a:gd name="T12" fmla="*/ 0 60000 65536"/>
            <a:gd name="T13" fmla="*/ 0 60000 65536"/>
            <a:gd name="T14" fmla="*/ 0 60000 65536"/>
            <a:gd name="T15" fmla="*/ 0 60000 65536"/>
            <a:gd name="T16" fmla="*/ 0 60000 65536"/>
            <a:gd name="T17" fmla="*/ 0 60000 65536"/>
            <a:gd name="T18" fmla="*/ 0 w 697"/>
            <a:gd name="T19" fmla="*/ 0 h 263"/>
            <a:gd name="T20" fmla="*/ 697 w 697"/>
            <a:gd name="T21" fmla="*/ 263 h 263"/>
          </a:gdLst>
          <a:ahLst/>
          <a:cxnLst>
            <a:cxn ang="T12">
              <a:pos x="T0" y="T1"/>
            </a:cxn>
            <a:cxn ang="T13">
              <a:pos x="T2" y="T3"/>
            </a:cxn>
            <a:cxn ang="T14">
              <a:pos x="T4" y="T5"/>
            </a:cxn>
            <a:cxn ang="T15">
              <a:pos x="T6" y="T7"/>
            </a:cxn>
            <a:cxn ang="T16">
              <a:pos x="T8" y="T9"/>
            </a:cxn>
            <a:cxn ang="T17">
              <a:pos x="T10" y="T11"/>
            </a:cxn>
          </a:cxnLst>
          <a:rect l="T18" t="T19" r="T20" b="T21"/>
          <a:pathLst>
            <a:path w="697" h="263">
              <a:moveTo>
                <a:pt x="13" y="0"/>
              </a:moveTo>
              <a:lnTo>
                <a:pt x="0" y="0"/>
              </a:lnTo>
              <a:lnTo>
                <a:pt x="0" y="263"/>
              </a:lnTo>
              <a:lnTo>
                <a:pt x="697" y="263"/>
              </a:lnTo>
              <a:lnTo>
                <a:pt x="697" y="0"/>
              </a:lnTo>
              <a:lnTo>
                <a:pt x="657"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114300</xdr:colOff>
      <xdr:row>25</xdr:row>
      <xdr:rowOff>85725</xdr:rowOff>
    </xdr:from>
    <xdr:to>
      <xdr:col>26</xdr:col>
      <xdr:colOff>209550</xdr:colOff>
      <xdr:row>25</xdr:row>
      <xdr:rowOff>85725</xdr:rowOff>
    </xdr:to>
    <xdr:sp macro="" textlink="">
      <xdr:nvSpPr>
        <xdr:cNvPr id="25803" name="Line 36">
          <a:extLst>
            <a:ext uri="{FF2B5EF4-FFF2-40B4-BE49-F238E27FC236}">
              <a16:creationId xmlns:a16="http://schemas.microsoft.com/office/drawing/2014/main" id="{00000000-0008-0000-0200-0000CB640000}"/>
            </a:ext>
          </a:extLst>
        </xdr:cNvPr>
        <xdr:cNvSpPr>
          <a:spLocks noChangeShapeType="1"/>
        </xdr:cNvSpPr>
      </xdr:nvSpPr>
      <xdr:spPr bwMode="auto">
        <a:xfrm flipV="1">
          <a:off x="5667375" y="4572000"/>
          <a:ext cx="9525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133350</xdr:colOff>
      <xdr:row>25</xdr:row>
      <xdr:rowOff>95250</xdr:rowOff>
    </xdr:from>
    <xdr:to>
      <xdr:col>31</xdr:col>
      <xdr:colOff>133350</xdr:colOff>
      <xdr:row>25</xdr:row>
      <xdr:rowOff>95250</xdr:rowOff>
    </xdr:to>
    <xdr:sp macro="" textlink="">
      <xdr:nvSpPr>
        <xdr:cNvPr id="25804" name="Line 37">
          <a:extLst>
            <a:ext uri="{FF2B5EF4-FFF2-40B4-BE49-F238E27FC236}">
              <a16:creationId xmlns:a16="http://schemas.microsoft.com/office/drawing/2014/main" id="{00000000-0008-0000-0200-0000CC640000}"/>
            </a:ext>
          </a:extLst>
        </xdr:cNvPr>
        <xdr:cNvSpPr>
          <a:spLocks noChangeShapeType="1"/>
        </xdr:cNvSpPr>
      </xdr:nvSpPr>
      <xdr:spPr bwMode="auto">
        <a:xfrm>
          <a:off x="6315075" y="4581525"/>
          <a:ext cx="4191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180975</xdr:colOff>
      <xdr:row>31</xdr:row>
      <xdr:rowOff>133350</xdr:rowOff>
    </xdr:from>
    <xdr:to>
      <xdr:col>24</xdr:col>
      <xdr:colOff>180975</xdr:colOff>
      <xdr:row>33</xdr:row>
      <xdr:rowOff>9525</xdr:rowOff>
    </xdr:to>
    <xdr:sp macro="" textlink="">
      <xdr:nvSpPr>
        <xdr:cNvPr id="25805" name="Line 56">
          <a:extLst>
            <a:ext uri="{FF2B5EF4-FFF2-40B4-BE49-F238E27FC236}">
              <a16:creationId xmlns:a16="http://schemas.microsoft.com/office/drawing/2014/main" id="{00000000-0008-0000-0200-0000CD640000}"/>
            </a:ext>
          </a:extLst>
        </xdr:cNvPr>
        <xdr:cNvSpPr>
          <a:spLocks noChangeShapeType="1"/>
        </xdr:cNvSpPr>
      </xdr:nvSpPr>
      <xdr:spPr bwMode="auto">
        <a:xfrm>
          <a:off x="5314950" y="5648325"/>
          <a:ext cx="0" cy="219075"/>
        </a:xfrm>
        <a:prstGeom prst="line">
          <a:avLst/>
        </a:prstGeom>
        <a:noFill/>
        <a:ln w="6350">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26</xdr:col>
      <xdr:colOff>114300</xdr:colOff>
      <xdr:row>37</xdr:row>
      <xdr:rowOff>85725</xdr:rowOff>
    </xdr:from>
    <xdr:to>
      <xdr:col>26</xdr:col>
      <xdr:colOff>114300</xdr:colOff>
      <xdr:row>56</xdr:row>
      <xdr:rowOff>123825</xdr:rowOff>
    </xdr:to>
    <xdr:sp macro="" textlink="">
      <xdr:nvSpPr>
        <xdr:cNvPr id="25806" name="Line 57">
          <a:extLst>
            <a:ext uri="{FF2B5EF4-FFF2-40B4-BE49-F238E27FC236}">
              <a16:creationId xmlns:a16="http://schemas.microsoft.com/office/drawing/2014/main" id="{00000000-0008-0000-0200-0000CE640000}"/>
            </a:ext>
          </a:extLst>
        </xdr:cNvPr>
        <xdr:cNvSpPr>
          <a:spLocks noChangeShapeType="1"/>
        </xdr:cNvSpPr>
      </xdr:nvSpPr>
      <xdr:spPr bwMode="auto">
        <a:xfrm flipH="1">
          <a:off x="5667375" y="6638925"/>
          <a:ext cx="0" cy="33432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190500</xdr:colOff>
      <xdr:row>37</xdr:row>
      <xdr:rowOff>85725</xdr:rowOff>
    </xdr:from>
    <xdr:to>
      <xdr:col>27</xdr:col>
      <xdr:colOff>0</xdr:colOff>
      <xdr:row>37</xdr:row>
      <xdr:rowOff>85725</xdr:rowOff>
    </xdr:to>
    <xdr:sp macro="" textlink="">
      <xdr:nvSpPr>
        <xdr:cNvPr id="25807" name="Line 58">
          <a:extLst>
            <a:ext uri="{FF2B5EF4-FFF2-40B4-BE49-F238E27FC236}">
              <a16:creationId xmlns:a16="http://schemas.microsoft.com/office/drawing/2014/main" id="{00000000-0008-0000-0200-0000CF640000}"/>
            </a:ext>
          </a:extLst>
        </xdr:cNvPr>
        <xdr:cNvSpPr>
          <a:spLocks noChangeShapeType="1"/>
        </xdr:cNvSpPr>
      </xdr:nvSpPr>
      <xdr:spPr bwMode="auto">
        <a:xfrm flipH="1" flipV="1">
          <a:off x="1133475" y="6638925"/>
          <a:ext cx="462915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37</xdr:row>
      <xdr:rowOff>85725</xdr:rowOff>
    </xdr:from>
    <xdr:to>
      <xdr:col>31</xdr:col>
      <xdr:colOff>133350</xdr:colOff>
      <xdr:row>56</xdr:row>
      <xdr:rowOff>123825</xdr:rowOff>
    </xdr:to>
    <xdr:sp macro="" textlink="">
      <xdr:nvSpPr>
        <xdr:cNvPr id="25808" name="Freeform 59">
          <a:extLst>
            <a:ext uri="{FF2B5EF4-FFF2-40B4-BE49-F238E27FC236}">
              <a16:creationId xmlns:a16="http://schemas.microsoft.com/office/drawing/2014/main" id="{00000000-0008-0000-0200-0000D0640000}"/>
            </a:ext>
          </a:extLst>
        </xdr:cNvPr>
        <xdr:cNvSpPr>
          <a:spLocks/>
        </xdr:cNvSpPr>
      </xdr:nvSpPr>
      <xdr:spPr bwMode="auto">
        <a:xfrm>
          <a:off x="390525" y="6638925"/>
          <a:ext cx="6343650" cy="3343275"/>
        </a:xfrm>
        <a:custGeom>
          <a:avLst/>
          <a:gdLst>
            <a:gd name="T0" fmla="*/ 2147483647 w 697"/>
            <a:gd name="T1" fmla="*/ 0 h 263"/>
            <a:gd name="T2" fmla="*/ 0 w 697"/>
            <a:gd name="T3" fmla="*/ 0 h 263"/>
            <a:gd name="T4" fmla="*/ 0 w 697"/>
            <a:gd name="T5" fmla="*/ 2147483647 h 263"/>
            <a:gd name="T6" fmla="*/ 2147483647 w 697"/>
            <a:gd name="T7" fmla="*/ 2147483647 h 263"/>
            <a:gd name="T8" fmla="*/ 2147483647 w 697"/>
            <a:gd name="T9" fmla="*/ 0 h 263"/>
            <a:gd name="T10" fmla="*/ 2147483647 w 697"/>
            <a:gd name="T11" fmla="*/ 0 h 263"/>
            <a:gd name="T12" fmla="*/ 0 60000 65536"/>
            <a:gd name="T13" fmla="*/ 0 60000 65536"/>
            <a:gd name="T14" fmla="*/ 0 60000 65536"/>
            <a:gd name="T15" fmla="*/ 0 60000 65536"/>
            <a:gd name="T16" fmla="*/ 0 60000 65536"/>
            <a:gd name="T17" fmla="*/ 0 60000 65536"/>
            <a:gd name="T18" fmla="*/ 0 w 697"/>
            <a:gd name="T19" fmla="*/ 0 h 263"/>
            <a:gd name="T20" fmla="*/ 697 w 697"/>
            <a:gd name="T21" fmla="*/ 263 h 263"/>
          </a:gdLst>
          <a:ahLst/>
          <a:cxnLst>
            <a:cxn ang="T12">
              <a:pos x="T0" y="T1"/>
            </a:cxn>
            <a:cxn ang="T13">
              <a:pos x="T2" y="T3"/>
            </a:cxn>
            <a:cxn ang="T14">
              <a:pos x="T4" y="T5"/>
            </a:cxn>
            <a:cxn ang="T15">
              <a:pos x="T6" y="T7"/>
            </a:cxn>
            <a:cxn ang="T16">
              <a:pos x="T8" y="T9"/>
            </a:cxn>
            <a:cxn ang="T17">
              <a:pos x="T10" y="T11"/>
            </a:cxn>
          </a:cxnLst>
          <a:rect l="T18" t="T19" r="T20" b="T21"/>
          <a:pathLst>
            <a:path w="697" h="263">
              <a:moveTo>
                <a:pt x="13" y="0"/>
              </a:moveTo>
              <a:lnTo>
                <a:pt x="0" y="0"/>
              </a:lnTo>
              <a:lnTo>
                <a:pt x="0" y="263"/>
              </a:lnTo>
              <a:lnTo>
                <a:pt x="697" y="263"/>
              </a:lnTo>
              <a:lnTo>
                <a:pt x="697" y="0"/>
              </a:lnTo>
              <a:lnTo>
                <a:pt x="657"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114300</xdr:colOff>
      <xdr:row>53</xdr:row>
      <xdr:rowOff>85725</xdr:rowOff>
    </xdr:from>
    <xdr:to>
      <xdr:col>26</xdr:col>
      <xdr:colOff>209550</xdr:colOff>
      <xdr:row>53</xdr:row>
      <xdr:rowOff>85725</xdr:rowOff>
    </xdr:to>
    <xdr:sp macro="" textlink="">
      <xdr:nvSpPr>
        <xdr:cNvPr id="25809" name="Line 60">
          <a:extLst>
            <a:ext uri="{FF2B5EF4-FFF2-40B4-BE49-F238E27FC236}">
              <a16:creationId xmlns:a16="http://schemas.microsoft.com/office/drawing/2014/main" id="{00000000-0008-0000-0200-0000D1640000}"/>
            </a:ext>
          </a:extLst>
        </xdr:cNvPr>
        <xdr:cNvSpPr>
          <a:spLocks noChangeShapeType="1"/>
        </xdr:cNvSpPr>
      </xdr:nvSpPr>
      <xdr:spPr bwMode="auto">
        <a:xfrm flipV="1">
          <a:off x="5667375" y="9429750"/>
          <a:ext cx="9525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133350</xdr:colOff>
      <xdr:row>53</xdr:row>
      <xdr:rowOff>95250</xdr:rowOff>
    </xdr:from>
    <xdr:to>
      <xdr:col>31</xdr:col>
      <xdr:colOff>133350</xdr:colOff>
      <xdr:row>53</xdr:row>
      <xdr:rowOff>95250</xdr:rowOff>
    </xdr:to>
    <xdr:sp macro="" textlink="">
      <xdr:nvSpPr>
        <xdr:cNvPr id="25810" name="Line 61">
          <a:extLst>
            <a:ext uri="{FF2B5EF4-FFF2-40B4-BE49-F238E27FC236}">
              <a16:creationId xmlns:a16="http://schemas.microsoft.com/office/drawing/2014/main" id="{00000000-0008-0000-0200-0000D2640000}"/>
            </a:ext>
          </a:extLst>
        </xdr:cNvPr>
        <xdr:cNvSpPr>
          <a:spLocks noChangeShapeType="1"/>
        </xdr:cNvSpPr>
      </xdr:nvSpPr>
      <xdr:spPr bwMode="auto">
        <a:xfrm>
          <a:off x="6315075" y="9439275"/>
          <a:ext cx="4191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190500</xdr:colOff>
      <xdr:row>60</xdr:row>
      <xdr:rowOff>19050</xdr:rowOff>
    </xdr:from>
    <xdr:to>
      <xdr:col>24</xdr:col>
      <xdr:colOff>190500</xdr:colOff>
      <xdr:row>61</xdr:row>
      <xdr:rowOff>28575</xdr:rowOff>
    </xdr:to>
    <xdr:sp macro="" textlink="">
      <xdr:nvSpPr>
        <xdr:cNvPr id="25811" name="Line 63">
          <a:extLst>
            <a:ext uri="{FF2B5EF4-FFF2-40B4-BE49-F238E27FC236}">
              <a16:creationId xmlns:a16="http://schemas.microsoft.com/office/drawing/2014/main" id="{00000000-0008-0000-0200-0000D3640000}"/>
            </a:ext>
          </a:extLst>
        </xdr:cNvPr>
        <xdr:cNvSpPr>
          <a:spLocks noChangeShapeType="1"/>
        </xdr:cNvSpPr>
      </xdr:nvSpPr>
      <xdr:spPr bwMode="auto">
        <a:xfrm>
          <a:off x="5324475" y="10563225"/>
          <a:ext cx="0" cy="180975"/>
        </a:xfrm>
        <a:prstGeom prst="line">
          <a:avLst/>
        </a:prstGeom>
        <a:noFill/>
        <a:ln w="6350">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58</xdr:col>
      <xdr:colOff>114300</xdr:colOff>
      <xdr:row>0</xdr:row>
      <xdr:rowOff>0</xdr:rowOff>
    </xdr:from>
    <xdr:to>
      <xdr:col>58</xdr:col>
      <xdr:colOff>114300</xdr:colOff>
      <xdr:row>0</xdr:row>
      <xdr:rowOff>0</xdr:rowOff>
    </xdr:to>
    <xdr:sp macro="" textlink="">
      <xdr:nvSpPr>
        <xdr:cNvPr id="25812" name="Line 68">
          <a:extLst>
            <a:ext uri="{FF2B5EF4-FFF2-40B4-BE49-F238E27FC236}">
              <a16:creationId xmlns:a16="http://schemas.microsoft.com/office/drawing/2014/main" id="{00000000-0008-0000-0200-0000D4640000}"/>
            </a:ext>
          </a:extLst>
        </xdr:cNvPr>
        <xdr:cNvSpPr>
          <a:spLocks noChangeShapeType="1"/>
        </xdr:cNvSpPr>
      </xdr:nvSpPr>
      <xdr:spPr bwMode="auto">
        <a:xfrm flipH="1">
          <a:off x="12753975"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171450</xdr:colOff>
      <xdr:row>0</xdr:row>
      <xdr:rowOff>0</xdr:rowOff>
    </xdr:from>
    <xdr:to>
      <xdr:col>58</xdr:col>
      <xdr:colOff>190500</xdr:colOff>
      <xdr:row>0</xdr:row>
      <xdr:rowOff>0</xdr:rowOff>
    </xdr:to>
    <xdr:sp macro="" textlink="">
      <xdr:nvSpPr>
        <xdr:cNvPr id="25813" name="Line 69">
          <a:extLst>
            <a:ext uri="{FF2B5EF4-FFF2-40B4-BE49-F238E27FC236}">
              <a16:creationId xmlns:a16="http://schemas.microsoft.com/office/drawing/2014/main" id="{00000000-0008-0000-0200-0000D5640000}"/>
            </a:ext>
          </a:extLst>
        </xdr:cNvPr>
        <xdr:cNvSpPr>
          <a:spLocks noChangeShapeType="1"/>
        </xdr:cNvSpPr>
      </xdr:nvSpPr>
      <xdr:spPr bwMode="auto">
        <a:xfrm flipH="1" flipV="1">
          <a:off x="8210550" y="0"/>
          <a:ext cx="461962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66675</xdr:colOff>
      <xdr:row>0</xdr:row>
      <xdr:rowOff>0</xdr:rowOff>
    </xdr:from>
    <xdr:to>
      <xdr:col>66</xdr:col>
      <xdr:colOff>133350</xdr:colOff>
      <xdr:row>0</xdr:row>
      <xdr:rowOff>0</xdr:rowOff>
    </xdr:to>
    <xdr:sp macro="" textlink="">
      <xdr:nvSpPr>
        <xdr:cNvPr id="25814" name="Freeform 70">
          <a:extLst>
            <a:ext uri="{FF2B5EF4-FFF2-40B4-BE49-F238E27FC236}">
              <a16:creationId xmlns:a16="http://schemas.microsoft.com/office/drawing/2014/main" id="{00000000-0008-0000-0200-0000D6640000}"/>
            </a:ext>
          </a:extLst>
        </xdr:cNvPr>
        <xdr:cNvSpPr>
          <a:spLocks/>
        </xdr:cNvSpPr>
      </xdr:nvSpPr>
      <xdr:spPr bwMode="auto">
        <a:xfrm>
          <a:off x="7258050" y="0"/>
          <a:ext cx="7410450" cy="0"/>
        </a:xfrm>
        <a:custGeom>
          <a:avLst/>
          <a:gdLst>
            <a:gd name="T0" fmla="*/ 2147483647 w 697"/>
            <a:gd name="T1" fmla="*/ 0 h 263"/>
            <a:gd name="T2" fmla="*/ 0 w 697"/>
            <a:gd name="T3" fmla="*/ 0 h 263"/>
            <a:gd name="T4" fmla="*/ 0 w 697"/>
            <a:gd name="T5" fmla="*/ 0 h 263"/>
            <a:gd name="T6" fmla="*/ 2147483647 w 697"/>
            <a:gd name="T7" fmla="*/ 0 h 263"/>
            <a:gd name="T8" fmla="*/ 2147483647 w 697"/>
            <a:gd name="T9" fmla="*/ 0 h 263"/>
            <a:gd name="T10" fmla="*/ 2147483647 w 697"/>
            <a:gd name="T11" fmla="*/ 0 h 263"/>
            <a:gd name="T12" fmla="*/ 0 60000 65536"/>
            <a:gd name="T13" fmla="*/ 0 60000 65536"/>
            <a:gd name="T14" fmla="*/ 0 60000 65536"/>
            <a:gd name="T15" fmla="*/ 0 60000 65536"/>
            <a:gd name="T16" fmla="*/ 0 60000 65536"/>
            <a:gd name="T17" fmla="*/ 0 60000 65536"/>
            <a:gd name="T18" fmla="*/ 0 w 697"/>
            <a:gd name="T19" fmla="*/ 0 h 263"/>
            <a:gd name="T20" fmla="*/ 697 w 697"/>
            <a:gd name="T21" fmla="*/ 0 h 263"/>
          </a:gdLst>
          <a:ahLst/>
          <a:cxnLst>
            <a:cxn ang="T12">
              <a:pos x="T0" y="T1"/>
            </a:cxn>
            <a:cxn ang="T13">
              <a:pos x="T2" y="T3"/>
            </a:cxn>
            <a:cxn ang="T14">
              <a:pos x="T4" y="T5"/>
            </a:cxn>
            <a:cxn ang="T15">
              <a:pos x="T6" y="T7"/>
            </a:cxn>
            <a:cxn ang="T16">
              <a:pos x="T8" y="T9"/>
            </a:cxn>
            <a:cxn ang="T17">
              <a:pos x="T10" y="T11"/>
            </a:cxn>
          </a:cxnLst>
          <a:rect l="T18" t="T19" r="T20" b="T21"/>
          <a:pathLst>
            <a:path w="697" h="263">
              <a:moveTo>
                <a:pt x="13" y="0"/>
              </a:moveTo>
              <a:lnTo>
                <a:pt x="0" y="0"/>
              </a:lnTo>
              <a:lnTo>
                <a:pt x="0" y="263"/>
              </a:lnTo>
              <a:lnTo>
                <a:pt x="697" y="263"/>
              </a:lnTo>
              <a:lnTo>
                <a:pt x="697" y="0"/>
              </a:lnTo>
              <a:lnTo>
                <a:pt x="657"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58</xdr:col>
      <xdr:colOff>114300</xdr:colOff>
      <xdr:row>0</xdr:row>
      <xdr:rowOff>0</xdr:rowOff>
    </xdr:from>
    <xdr:to>
      <xdr:col>58</xdr:col>
      <xdr:colOff>209550</xdr:colOff>
      <xdr:row>0</xdr:row>
      <xdr:rowOff>0</xdr:rowOff>
    </xdr:to>
    <xdr:sp macro="" textlink="">
      <xdr:nvSpPr>
        <xdr:cNvPr id="25815" name="Line 71">
          <a:extLst>
            <a:ext uri="{FF2B5EF4-FFF2-40B4-BE49-F238E27FC236}">
              <a16:creationId xmlns:a16="http://schemas.microsoft.com/office/drawing/2014/main" id="{00000000-0008-0000-0200-0000D7640000}"/>
            </a:ext>
          </a:extLst>
        </xdr:cNvPr>
        <xdr:cNvSpPr>
          <a:spLocks noChangeShapeType="1"/>
        </xdr:cNvSpPr>
      </xdr:nvSpPr>
      <xdr:spPr bwMode="auto">
        <a:xfrm flipV="1">
          <a:off x="12753975" y="0"/>
          <a:ext cx="9525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64</xdr:col>
      <xdr:colOff>133350</xdr:colOff>
      <xdr:row>0</xdr:row>
      <xdr:rowOff>0</xdr:rowOff>
    </xdr:from>
    <xdr:to>
      <xdr:col>66</xdr:col>
      <xdr:colOff>133350</xdr:colOff>
      <xdr:row>0</xdr:row>
      <xdr:rowOff>0</xdr:rowOff>
    </xdr:to>
    <xdr:sp macro="" textlink="">
      <xdr:nvSpPr>
        <xdr:cNvPr id="25816" name="Line 72">
          <a:extLst>
            <a:ext uri="{FF2B5EF4-FFF2-40B4-BE49-F238E27FC236}">
              <a16:creationId xmlns:a16="http://schemas.microsoft.com/office/drawing/2014/main" id="{00000000-0008-0000-0200-0000D8640000}"/>
            </a:ext>
          </a:extLst>
        </xdr:cNvPr>
        <xdr:cNvSpPr>
          <a:spLocks noChangeShapeType="1"/>
        </xdr:cNvSpPr>
      </xdr:nvSpPr>
      <xdr:spPr bwMode="auto">
        <a:xfrm>
          <a:off x="14030325" y="0"/>
          <a:ext cx="6381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0</xdr:row>
      <xdr:rowOff>0</xdr:rowOff>
    </xdr:from>
    <xdr:to>
      <xdr:col>58</xdr:col>
      <xdr:colOff>114300</xdr:colOff>
      <xdr:row>0</xdr:row>
      <xdr:rowOff>0</xdr:rowOff>
    </xdr:to>
    <xdr:sp macro="" textlink="">
      <xdr:nvSpPr>
        <xdr:cNvPr id="25817" name="Line 75">
          <a:extLst>
            <a:ext uri="{FF2B5EF4-FFF2-40B4-BE49-F238E27FC236}">
              <a16:creationId xmlns:a16="http://schemas.microsoft.com/office/drawing/2014/main" id="{00000000-0008-0000-0200-0000D9640000}"/>
            </a:ext>
          </a:extLst>
        </xdr:cNvPr>
        <xdr:cNvSpPr>
          <a:spLocks noChangeShapeType="1"/>
        </xdr:cNvSpPr>
      </xdr:nvSpPr>
      <xdr:spPr bwMode="auto">
        <a:xfrm flipH="1">
          <a:off x="12753975"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133350</xdr:colOff>
      <xdr:row>0</xdr:row>
      <xdr:rowOff>0</xdr:rowOff>
    </xdr:from>
    <xdr:to>
      <xdr:col>59</xdr:col>
      <xdr:colOff>0</xdr:colOff>
      <xdr:row>0</xdr:row>
      <xdr:rowOff>0</xdr:rowOff>
    </xdr:to>
    <xdr:sp macro="" textlink="">
      <xdr:nvSpPr>
        <xdr:cNvPr id="25818" name="Line 76">
          <a:extLst>
            <a:ext uri="{FF2B5EF4-FFF2-40B4-BE49-F238E27FC236}">
              <a16:creationId xmlns:a16="http://schemas.microsoft.com/office/drawing/2014/main" id="{00000000-0008-0000-0200-0000DA640000}"/>
            </a:ext>
          </a:extLst>
        </xdr:cNvPr>
        <xdr:cNvSpPr>
          <a:spLocks noChangeShapeType="1"/>
        </xdr:cNvSpPr>
      </xdr:nvSpPr>
      <xdr:spPr bwMode="auto">
        <a:xfrm flipH="1" flipV="1">
          <a:off x="9001125" y="0"/>
          <a:ext cx="38481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0</xdr:row>
      <xdr:rowOff>0</xdr:rowOff>
    </xdr:from>
    <xdr:to>
      <xdr:col>58</xdr:col>
      <xdr:colOff>209550</xdr:colOff>
      <xdr:row>0</xdr:row>
      <xdr:rowOff>0</xdr:rowOff>
    </xdr:to>
    <xdr:sp macro="" textlink="">
      <xdr:nvSpPr>
        <xdr:cNvPr id="25819" name="Line 78">
          <a:extLst>
            <a:ext uri="{FF2B5EF4-FFF2-40B4-BE49-F238E27FC236}">
              <a16:creationId xmlns:a16="http://schemas.microsoft.com/office/drawing/2014/main" id="{00000000-0008-0000-0200-0000DB640000}"/>
            </a:ext>
          </a:extLst>
        </xdr:cNvPr>
        <xdr:cNvSpPr>
          <a:spLocks noChangeShapeType="1"/>
        </xdr:cNvSpPr>
      </xdr:nvSpPr>
      <xdr:spPr bwMode="auto">
        <a:xfrm flipV="1">
          <a:off x="12753975" y="0"/>
          <a:ext cx="9525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64</xdr:col>
      <xdr:colOff>133350</xdr:colOff>
      <xdr:row>0</xdr:row>
      <xdr:rowOff>0</xdr:rowOff>
    </xdr:from>
    <xdr:to>
      <xdr:col>66</xdr:col>
      <xdr:colOff>133350</xdr:colOff>
      <xdr:row>0</xdr:row>
      <xdr:rowOff>0</xdr:rowOff>
    </xdr:to>
    <xdr:sp macro="" textlink="">
      <xdr:nvSpPr>
        <xdr:cNvPr id="25820" name="Line 79">
          <a:extLst>
            <a:ext uri="{FF2B5EF4-FFF2-40B4-BE49-F238E27FC236}">
              <a16:creationId xmlns:a16="http://schemas.microsoft.com/office/drawing/2014/main" id="{00000000-0008-0000-0200-0000DC640000}"/>
            </a:ext>
          </a:extLst>
        </xdr:cNvPr>
        <xdr:cNvSpPr>
          <a:spLocks noChangeShapeType="1"/>
        </xdr:cNvSpPr>
      </xdr:nvSpPr>
      <xdr:spPr bwMode="auto">
        <a:xfrm>
          <a:off x="14030325" y="0"/>
          <a:ext cx="6381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59</xdr:col>
      <xdr:colOff>114300</xdr:colOff>
      <xdr:row>9</xdr:row>
      <xdr:rowOff>85725</xdr:rowOff>
    </xdr:from>
    <xdr:to>
      <xdr:col>59</xdr:col>
      <xdr:colOff>114300</xdr:colOff>
      <xdr:row>28</xdr:row>
      <xdr:rowOff>123825</xdr:rowOff>
    </xdr:to>
    <xdr:sp macro="" textlink="">
      <xdr:nvSpPr>
        <xdr:cNvPr id="25821" name="Line 89">
          <a:extLst>
            <a:ext uri="{FF2B5EF4-FFF2-40B4-BE49-F238E27FC236}">
              <a16:creationId xmlns:a16="http://schemas.microsoft.com/office/drawing/2014/main" id="{00000000-0008-0000-0200-0000DD640000}"/>
            </a:ext>
          </a:extLst>
        </xdr:cNvPr>
        <xdr:cNvSpPr>
          <a:spLocks noChangeShapeType="1"/>
        </xdr:cNvSpPr>
      </xdr:nvSpPr>
      <xdr:spPr bwMode="auto">
        <a:xfrm flipH="1">
          <a:off x="12963525" y="1809750"/>
          <a:ext cx="0" cy="33147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37</xdr:col>
      <xdr:colOff>171450</xdr:colOff>
      <xdr:row>9</xdr:row>
      <xdr:rowOff>85725</xdr:rowOff>
    </xdr:from>
    <xdr:to>
      <xdr:col>60</xdr:col>
      <xdr:colOff>0</xdr:colOff>
      <xdr:row>9</xdr:row>
      <xdr:rowOff>85725</xdr:rowOff>
    </xdr:to>
    <xdr:sp macro="" textlink="">
      <xdr:nvSpPr>
        <xdr:cNvPr id="25822" name="Line 90">
          <a:extLst>
            <a:ext uri="{FF2B5EF4-FFF2-40B4-BE49-F238E27FC236}">
              <a16:creationId xmlns:a16="http://schemas.microsoft.com/office/drawing/2014/main" id="{00000000-0008-0000-0200-0000DE640000}"/>
            </a:ext>
          </a:extLst>
        </xdr:cNvPr>
        <xdr:cNvSpPr>
          <a:spLocks noChangeShapeType="1"/>
        </xdr:cNvSpPr>
      </xdr:nvSpPr>
      <xdr:spPr bwMode="auto">
        <a:xfrm flipH="1" flipV="1">
          <a:off x="8410575" y="1809750"/>
          <a:ext cx="46482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76200</xdr:colOff>
      <xdr:row>9</xdr:row>
      <xdr:rowOff>104775</xdr:rowOff>
    </xdr:from>
    <xdr:to>
      <xdr:col>64</xdr:col>
      <xdr:colOff>142875</xdr:colOff>
      <xdr:row>28</xdr:row>
      <xdr:rowOff>142875</xdr:rowOff>
    </xdr:to>
    <xdr:sp macro="" textlink="">
      <xdr:nvSpPr>
        <xdr:cNvPr id="25823" name="Freeform 91">
          <a:extLst>
            <a:ext uri="{FF2B5EF4-FFF2-40B4-BE49-F238E27FC236}">
              <a16:creationId xmlns:a16="http://schemas.microsoft.com/office/drawing/2014/main" id="{00000000-0008-0000-0200-0000DF640000}"/>
            </a:ext>
          </a:extLst>
        </xdr:cNvPr>
        <xdr:cNvSpPr>
          <a:spLocks/>
        </xdr:cNvSpPr>
      </xdr:nvSpPr>
      <xdr:spPr bwMode="auto">
        <a:xfrm>
          <a:off x="7696200" y="1828800"/>
          <a:ext cx="6343650" cy="3314700"/>
        </a:xfrm>
        <a:custGeom>
          <a:avLst/>
          <a:gdLst>
            <a:gd name="T0" fmla="*/ 2147483647 w 697"/>
            <a:gd name="T1" fmla="*/ 0 h 263"/>
            <a:gd name="T2" fmla="*/ 0 w 697"/>
            <a:gd name="T3" fmla="*/ 0 h 263"/>
            <a:gd name="T4" fmla="*/ 0 w 697"/>
            <a:gd name="T5" fmla="*/ 2147483647 h 263"/>
            <a:gd name="T6" fmla="*/ 2147483647 w 697"/>
            <a:gd name="T7" fmla="*/ 2147483647 h 263"/>
            <a:gd name="T8" fmla="*/ 2147483647 w 697"/>
            <a:gd name="T9" fmla="*/ 0 h 263"/>
            <a:gd name="T10" fmla="*/ 2147483647 w 697"/>
            <a:gd name="T11" fmla="*/ 0 h 263"/>
            <a:gd name="T12" fmla="*/ 0 60000 65536"/>
            <a:gd name="T13" fmla="*/ 0 60000 65536"/>
            <a:gd name="T14" fmla="*/ 0 60000 65536"/>
            <a:gd name="T15" fmla="*/ 0 60000 65536"/>
            <a:gd name="T16" fmla="*/ 0 60000 65536"/>
            <a:gd name="T17" fmla="*/ 0 60000 65536"/>
            <a:gd name="T18" fmla="*/ 0 w 697"/>
            <a:gd name="T19" fmla="*/ 0 h 263"/>
            <a:gd name="T20" fmla="*/ 697 w 697"/>
            <a:gd name="T21" fmla="*/ 263 h 263"/>
          </a:gdLst>
          <a:ahLst/>
          <a:cxnLst>
            <a:cxn ang="T12">
              <a:pos x="T0" y="T1"/>
            </a:cxn>
            <a:cxn ang="T13">
              <a:pos x="T2" y="T3"/>
            </a:cxn>
            <a:cxn ang="T14">
              <a:pos x="T4" y="T5"/>
            </a:cxn>
            <a:cxn ang="T15">
              <a:pos x="T6" y="T7"/>
            </a:cxn>
            <a:cxn ang="T16">
              <a:pos x="T8" y="T9"/>
            </a:cxn>
            <a:cxn ang="T17">
              <a:pos x="T10" y="T11"/>
            </a:cxn>
          </a:cxnLst>
          <a:rect l="T18" t="T19" r="T20" b="T21"/>
          <a:pathLst>
            <a:path w="697" h="263">
              <a:moveTo>
                <a:pt x="13" y="0"/>
              </a:moveTo>
              <a:lnTo>
                <a:pt x="0" y="0"/>
              </a:lnTo>
              <a:lnTo>
                <a:pt x="0" y="263"/>
              </a:lnTo>
              <a:lnTo>
                <a:pt x="697" y="263"/>
              </a:lnTo>
              <a:lnTo>
                <a:pt x="697" y="0"/>
              </a:lnTo>
              <a:lnTo>
                <a:pt x="657"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114300</xdr:colOff>
      <xdr:row>25</xdr:row>
      <xdr:rowOff>85725</xdr:rowOff>
    </xdr:from>
    <xdr:to>
      <xdr:col>59</xdr:col>
      <xdr:colOff>209550</xdr:colOff>
      <xdr:row>25</xdr:row>
      <xdr:rowOff>85725</xdr:rowOff>
    </xdr:to>
    <xdr:sp macro="" textlink="">
      <xdr:nvSpPr>
        <xdr:cNvPr id="25824" name="Line 92">
          <a:extLst>
            <a:ext uri="{FF2B5EF4-FFF2-40B4-BE49-F238E27FC236}">
              <a16:creationId xmlns:a16="http://schemas.microsoft.com/office/drawing/2014/main" id="{00000000-0008-0000-0200-0000E0640000}"/>
            </a:ext>
          </a:extLst>
        </xdr:cNvPr>
        <xdr:cNvSpPr>
          <a:spLocks noChangeShapeType="1"/>
        </xdr:cNvSpPr>
      </xdr:nvSpPr>
      <xdr:spPr bwMode="auto">
        <a:xfrm flipV="1">
          <a:off x="12963525" y="4572000"/>
          <a:ext cx="9525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133350</xdr:colOff>
      <xdr:row>25</xdr:row>
      <xdr:rowOff>95250</xdr:rowOff>
    </xdr:from>
    <xdr:to>
      <xdr:col>64</xdr:col>
      <xdr:colOff>133350</xdr:colOff>
      <xdr:row>25</xdr:row>
      <xdr:rowOff>95250</xdr:rowOff>
    </xdr:to>
    <xdr:sp macro="" textlink="">
      <xdr:nvSpPr>
        <xdr:cNvPr id="25825" name="Line 93">
          <a:extLst>
            <a:ext uri="{FF2B5EF4-FFF2-40B4-BE49-F238E27FC236}">
              <a16:creationId xmlns:a16="http://schemas.microsoft.com/office/drawing/2014/main" id="{00000000-0008-0000-0200-0000E1640000}"/>
            </a:ext>
          </a:extLst>
        </xdr:cNvPr>
        <xdr:cNvSpPr>
          <a:spLocks noChangeShapeType="1"/>
        </xdr:cNvSpPr>
      </xdr:nvSpPr>
      <xdr:spPr bwMode="auto">
        <a:xfrm>
          <a:off x="13611225" y="4581525"/>
          <a:ext cx="4191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57</xdr:col>
      <xdr:colOff>171450</xdr:colOff>
      <xdr:row>32</xdr:row>
      <xdr:rowOff>28575</xdr:rowOff>
    </xdr:from>
    <xdr:to>
      <xdr:col>57</xdr:col>
      <xdr:colOff>171450</xdr:colOff>
      <xdr:row>33</xdr:row>
      <xdr:rowOff>38100</xdr:rowOff>
    </xdr:to>
    <xdr:sp macro="" textlink="">
      <xdr:nvSpPr>
        <xdr:cNvPr id="25826" name="Line 94">
          <a:extLst>
            <a:ext uri="{FF2B5EF4-FFF2-40B4-BE49-F238E27FC236}">
              <a16:creationId xmlns:a16="http://schemas.microsoft.com/office/drawing/2014/main" id="{00000000-0008-0000-0200-0000E2640000}"/>
            </a:ext>
          </a:extLst>
        </xdr:cNvPr>
        <xdr:cNvSpPr>
          <a:spLocks noChangeShapeType="1"/>
        </xdr:cNvSpPr>
      </xdr:nvSpPr>
      <xdr:spPr bwMode="auto">
        <a:xfrm>
          <a:off x="12601575" y="5715000"/>
          <a:ext cx="0" cy="180975"/>
        </a:xfrm>
        <a:prstGeom prst="line">
          <a:avLst/>
        </a:prstGeom>
        <a:noFill/>
        <a:ln w="6350">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33</xdr:col>
      <xdr:colOff>19050</xdr:colOff>
      <xdr:row>37</xdr:row>
      <xdr:rowOff>28575</xdr:rowOff>
    </xdr:from>
    <xdr:to>
      <xdr:col>65</xdr:col>
      <xdr:colOff>304800</xdr:colOff>
      <xdr:row>37</xdr:row>
      <xdr:rowOff>38100</xdr:rowOff>
    </xdr:to>
    <xdr:sp macro="" textlink="">
      <xdr:nvSpPr>
        <xdr:cNvPr id="25827" name="Line 103">
          <a:extLst>
            <a:ext uri="{FF2B5EF4-FFF2-40B4-BE49-F238E27FC236}">
              <a16:creationId xmlns:a16="http://schemas.microsoft.com/office/drawing/2014/main" id="{00000000-0008-0000-0200-0000E3640000}"/>
            </a:ext>
          </a:extLst>
        </xdr:cNvPr>
        <xdr:cNvSpPr>
          <a:spLocks noChangeShapeType="1"/>
        </xdr:cNvSpPr>
      </xdr:nvSpPr>
      <xdr:spPr bwMode="auto">
        <a:xfrm flipV="1">
          <a:off x="7210425" y="6581775"/>
          <a:ext cx="7200900" cy="9525"/>
        </a:xfrm>
        <a:prstGeom prst="line">
          <a:avLst/>
        </a:prstGeom>
        <a:noFill/>
        <a:ln w="25400">
          <a:pattFill prst="pct75">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109</xdr:col>
      <xdr:colOff>104775</xdr:colOff>
      <xdr:row>66</xdr:row>
      <xdr:rowOff>0</xdr:rowOff>
    </xdr:from>
    <xdr:to>
      <xdr:col>110</xdr:col>
      <xdr:colOff>142875</xdr:colOff>
      <xdr:row>66</xdr:row>
      <xdr:rowOff>9525</xdr:rowOff>
    </xdr:to>
    <xdr:sp macro="" textlink="">
      <xdr:nvSpPr>
        <xdr:cNvPr id="30" name="Line 40">
          <a:extLst>
            <a:ext uri="{FF2B5EF4-FFF2-40B4-BE49-F238E27FC236}">
              <a16:creationId xmlns:a16="http://schemas.microsoft.com/office/drawing/2014/main" id="{1FF6ED82-AD3D-4969-A026-B31F348E21A2}"/>
            </a:ext>
          </a:extLst>
        </xdr:cNvPr>
        <xdr:cNvSpPr>
          <a:spLocks noChangeShapeType="1"/>
        </xdr:cNvSpPr>
      </xdr:nvSpPr>
      <xdr:spPr bwMode="auto">
        <a:xfrm>
          <a:off x="13988415" y="10561320"/>
          <a:ext cx="266700" cy="9525"/>
        </a:xfrm>
        <a:prstGeom prst="line">
          <a:avLst/>
        </a:prstGeom>
        <a:noFill/>
        <a:ln w="63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0</xdr:colOff>
      <xdr:row>8</xdr:row>
      <xdr:rowOff>0</xdr:rowOff>
    </xdr:from>
    <xdr:to>
      <xdr:col>26</xdr:col>
      <xdr:colOff>0</xdr:colOff>
      <xdr:row>8</xdr:row>
      <xdr:rowOff>0</xdr:rowOff>
    </xdr:to>
    <xdr:sp macro="" textlink="">
      <xdr:nvSpPr>
        <xdr:cNvPr id="25161" name="Line 1">
          <a:extLst>
            <a:ext uri="{FF2B5EF4-FFF2-40B4-BE49-F238E27FC236}">
              <a16:creationId xmlns:a16="http://schemas.microsoft.com/office/drawing/2014/main" id="{00000000-0008-0000-0300-000049620000}"/>
            </a:ext>
          </a:extLst>
        </xdr:cNvPr>
        <xdr:cNvSpPr>
          <a:spLocks noChangeShapeType="1"/>
        </xdr:cNvSpPr>
      </xdr:nvSpPr>
      <xdr:spPr bwMode="auto">
        <a:xfrm flipH="1">
          <a:off x="5438775" y="15240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8</xdr:row>
      <xdr:rowOff>0</xdr:rowOff>
    </xdr:from>
    <xdr:to>
      <xdr:col>26</xdr:col>
      <xdr:colOff>0</xdr:colOff>
      <xdr:row>8</xdr:row>
      <xdr:rowOff>0</xdr:rowOff>
    </xdr:to>
    <xdr:sp macro="" textlink="">
      <xdr:nvSpPr>
        <xdr:cNvPr id="25162" name="Line 8">
          <a:extLst>
            <a:ext uri="{FF2B5EF4-FFF2-40B4-BE49-F238E27FC236}">
              <a16:creationId xmlns:a16="http://schemas.microsoft.com/office/drawing/2014/main" id="{00000000-0008-0000-0300-00004A620000}"/>
            </a:ext>
          </a:extLst>
        </xdr:cNvPr>
        <xdr:cNvSpPr>
          <a:spLocks noChangeShapeType="1"/>
        </xdr:cNvSpPr>
      </xdr:nvSpPr>
      <xdr:spPr bwMode="auto">
        <a:xfrm flipH="1">
          <a:off x="5438775" y="15240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0</xdr:row>
      <xdr:rowOff>0</xdr:rowOff>
    </xdr:from>
    <xdr:to>
      <xdr:col>32</xdr:col>
      <xdr:colOff>0</xdr:colOff>
      <xdr:row>0</xdr:row>
      <xdr:rowOff>0</xdr:rowOff>
    </xdr:to>
    <xdr:sp macro="" textlink="">
      <xdr:nvSpPr>
        <xdr:cNvPr id="25163" name="Line 15">
          <a:extLst>
            <a:ext uri="{FF2B5EF4-FFF2-40B4-BE49-F238E27FC236}">
              <a16:creationId xmlns:a16="http://schemas.microsoft.com/office/drawing/2014/main" id="{00000000-0008-0000-0300-00004B620000}"/>
            </a:ext>
          </a:extLst>
        </xdr:cNvPr>
        <xdr:cNvSpPr>
          <a:spLocks noChangeShapeType="1"/>
        </xdr:cNvSpPr>
      </xdr:nvSpPr>
      <xdr:spPr bwMode="auto">
        <a:xfrm flipH="1">
          <a:off x="12458700"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0</xdr:row>
      <xdr:rowOff>0</xdr:rowOff>
    </xdr:from>
    <xdr:to>
      <xdr:col>32</xdr:col>
      <xdr:colOff>0</xdr:colOff>
      <xdr:row>0</xdr:row>
      <xdr:rowOff>0</xdr:rowOff>
    </xdr:to>
    <xdr:sp macro="" textlink="">
      <xdr:nvSpPr>
        <xdr:cNvPr id="25164" name="Line 16">
          <a:extLst>
            <a:ext uri="{FF2B5EF4-FFF2-40B4-BE49-F238E27FC236}">
              <a16:creationId xmlns:a16="http://schemas.microsoft.com/office/drawing/2014/main" id="{00000000-0008-0000-0300-00004C620000}"/>
            </a:ext>
          </a:extLst>
        </xdr:cNvPr>
        <xdr:cNvSpPr>
          <a:spLocks noChangeShapeType="1"/>
        </xdr:cNvSpPr>
      </xdr:nvSpPr>
      <xdr:spPr bwMode="auto">
        <a:xfrm flipH="1" flipV="1">
          <a:off x="7915275" y="0"/>
          <a:ext cx="461962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0</xdr:row>
      <xdr:rowOff>0</xdr:rowOff>
    </xdr:from>
    <xdr:to>
      <xdr:col>32</xdr:col>
      <xdr:colOff>0</xdr:colOff>
      <xdr:row>0</xdr:row>
      <xdr:rowOff>0</xdr:rowOff>
    </xdr:to>
    <xdr:sp macro="" textlink="">
      <xdr:nvSpPr>
        <xdr:cNvPr id="25165" name="Freeform 17">
          <a:extLst>
            <a:ext uri="{FF2B5EF4-FFF2-40B4-BE49-F238E27FC236}">
              <a16:creationId xmlns:a16="http://schemas.microsoft.com/office/drawing/2014/main" id="{00000000-0008-0000-0300-00004D620000}"/>
            </a:ext>
          </a:extLst>
        </xdr:cNvPr>
        <xdr:cNvSpPr>
          <a:spLocks/>
        </xdr:cNvSpPr>
      </xdr:nvSpPr>
      <xdr:spPr bwMode="auto">
        <a:xfrm>
          <a:off x="7181850" y="0"/>
          <a:ext cx="7058025" cy="0"/>
        </a:xfrm>
        <a:custGeom>
          <a:avLst/>
          <a:gdLst>
            <a:gd name="T0" fmla="*/ 2147483647 w 697"/>
            <a:gd name="T1" fmla="*/ 0 h 263"/>
            <a:gd name="T2" fmla="*/ 0 w 697"/>
            <a:gd name="T3" fmla="*/ 0 h 263"/>
            <a:gd name="T4" fmla="*/ 0 w 697"/>
            <a:gd name="T5" fmla="*/ 0 h 263"/>
            <a:gd name="T6" fmla="*/ 2147483647 w 697"/>
            <a:gd name="T7" fmla="*/ 0 h 263"/>
            <a:gd name="T8" fmla="*/ 2147483647 w 697"/>
            <a:gd name="T9" fmla="*/ 0 h 263"/>
            <a:gd name="T10" fmla="*/ 2147483647 w 697"/>
            <a:gd name="T11" fmla="*/ 0 h 263"/>
            <a:gd name="T12" fmla="*/ 0 60000 65536"/>
            <a:gd name="T13" fmla="*/ 0 60000 65536"/>
            <a:gd name="T14" fmla="*/ 0 60000 65536"/>
            <a:gd name="T15" fmla="*/ 0 60000 65536"/>
            <a:gd name="T16" fmla="*/ 0 60000 65536"/>
            <a:gd name="T17" fmla="*/ 0 60000 65536"/>
            <a:gd name="T18" fmla="*/ 0 w 697"/>
            <a:gd name="T19" fmla="*/ 0 h 263"/>
            <a:gd name="T20" fmla="*/ 697 w 697"/>
            <a:gd name="T21" fmla="*/ 0 h 263"/>
          </a:gdLst>
          <a:ahLst/>
          <a:cxnLst>
            <a:cxn ang="T12">
              <a:pos x="T0" y="T1"/>
            </a:cxn>
            <a:cxn ang="T13">
              <a:pos x="T2" y="T3"/>
            </a:cxn>
            <a:cxn ang="T14">
              <a:pos x="T4" y="T5"/>
            </a:cxn>
            <a:cxn ang="T15">
              <a:pos x="T6" y="T7"/>
            </a:cxn>
            <a:cxn ang="T16">
              <a:pos x="T8" y="T9"/>
            </a:cxn>
            <a:cxn ang="T17">
              <a:pos x="T10" y="T11"/>
            </a:cxn>
          </a:cxnLst>
          <a:rect l="T18" t="T19" r="T20" b="T21"/>
          <a:pathLst>
            <a:path w="697" h="263">
              <a:moveTo>
                <a:pt x="13" y="0"/>
              </a:moveTo>
              <a:lnTo>
                <a:pt x="0" y="0"/>
              </a:lnTo>
              <a:lnTo>
                <a:pt x="0" y="263"/>
              </a:lnTo>
              <a:lnTo>
                <a:pt x="697" y="263"/>
              </a:lnTo>
              <a:lnTo>
                <a:pt x="697" y="0"/>
              </a:lnTo>
              <a:lnTo>
                <a:pt x="657" y="0"/>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0</xdr:colOff>
      <xdr:row>0</xdr:row>
      <xdr:rowOff>0</xdr:rowOff>
    </xdr:from>
    <xdr:to>
      <xdr:col>32</xdr:col>
      <xdr:colOff>0</xdr:colOff>
      <xdr:row>0</xdr:row>
      <xdr:rowOff>0</xdr:rowOff>
    </xdr:to>
    <xdr:sp macro="" textlink="">
      <xdr:nvSpPr>
        <xdr:cNvPr id="25166" name="Line 18">
          <a:extLst>
            <a:ext uri="{FF2B5EF4-FFF2-40B4-BE49-F238E27FC236}">
              <a16:creationId xmlns:a16="http://schemas.microsoft.com/office/drawing/2014/main" id="{00000000-0008-0000-0300-00004E620000}"/>
            </a:ext>
          </a:extLst>
        </xdr:cNvPr>
        <xdr:cNvSpPr>
          <a:spLocks noChangeShapeType="1"/>
        </xdr:cNvSpPr>
      </xdr:nvSpPr>
      <xdr:spPr bwMode="auto">
        <a:xfrm flipV="1">
          <a:off x="12458700" y="0"/>
          <a:ext cx="9525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0</xdr:row>
      <xdr:rowOff>0</xdr:rowOff>
    </xdr:from>
    <xdr:to>
      <xdr:col>32</xdr:col>
      <xdr:colOff>0</xdr:colOff>
      <xdr:row>0</xdr:row>
      <xdr:rowOff>0</xdr:rowOff>
    </xdr:to>
    <xdr:sp macro="" textlink="">
      <xdr:nvSpPr>
        <xdr:cNvPr id="25167" name="Line 19">
          <a:extLst>
            <a:ext uri="{FF2B5EF4-FFF2-40B4-BE49-F238E27FC236}">
              <a16:creationId xmlns:a16="http://schemas.microsoft.com/office/drawing/2014/main" id="{00000000-0008-0000-0300-00004F620000}"/>
            </a:ext>
          </a:extLst>
        </xdr:cNvPr>
        <xdr:cNvSpPr>
          <a:spLocks noChangeShapeType="1"/>
        </xdr:cNvSpPr>
      </xdr:nvSpPr>
      <xdr:spPr bwMode="auto">
        <a:xfrm>
          <a:off x="13735050" y="0"/>
          <a:ext cx="50482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0</xdr:row>
      <xdr:rowOff>0</xdr:rowOff>
    </xdr:from>
    <xdr:to>
      <xdr:col>32</xdr:col>
      <xdr:colOff>0</xdr:colOff>
      <xdr:row>0</xdr:row>
      <xdr:rowOff>0</xdr:rowOff>
    </xdr:to>
    <xdr:sp macro="" textlink="">
      <xdr:nvSpPr>
        <xdr:cNvPr id="25168" name="Line 20">
          <a:extLst>
            <a:ext uri="{FF2B5EF4-FFF2-40B4-BE49-F238E27FC236}">
              <a16:creationId xmlns:a16="http://schemas.microsoft.com/office/drawing/2014/main" id="{00000000-0008-0000-0300-000050620000}"/>
            </a:ext>
          </a:extLst>
        </xdr:cNvPr>
        <xdr:cNvSpPr>
          <a:spLocks noChangeShapeType="1"/>
        </xdr:cNvSpPr>
      </xdr:nvSpPr>
      <xdr:spPr bwMode="auto">
        <a:xfrm flipH="1">
          <a:off x="12458700"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0</xdr:row>
      <xdr:rowOff>0</xdr:rowOff>
    </xdr:from>
    <xdr:to>
      <xdr:col>32</xdr:col>
      <xdr:colOff>0</xdr:colOff>
      <xdr:row>0</xdr:row>
      <xdr:rowOff>0</xdr:rowOff>
    </xdr:to>
    <xdr:sp macro="" textlink="">
      <xdr:nvSpPr>
        <xdr:cNvPr id="25169" name="Line 21">
          <a:extLst>
            <a:ext uri="{FF2B5EF4-FFF2-40B4-BE49-F238E27FC236}">
              <a16:creationId xmlns:a16="http://schemas.microsoft.com/office/drawing/2014/main" id="{00000000-0008-0000-0300-000051620000}"/>
            </a:ext>
          </a:extLst>
        </xdr:cNvPr>
        <xdr:cNvSpPr>
          <a:spLocks noChangeShapeType="1"/>
        </xdr:cNvSpPr>
      </xdr:nvSpPr>
      <xdr:spPr bwMode="auto">
        <a:xfrm flipH="1" flipV="1">
          <a:off x="8705850" y="0"/>
          <a:ext cx="38481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0</xdr:row>
      <xdr:rowOff>0</xdr:rowOff>
    </xdr:from>
    <xdr:to>
      <xdr:col>32</xdr:col>
      <xdr:colOff>0</xdr:colOff>
      <xdr:row>0</xdr:row>
      <xdr:rowOff>0</xdr:rowOff>
    </xdr:to>
    <xdr:sp macro="" textlink="">
      <xdr:nvSpPr>
        <xdr:cNvPr id="25170" name="Line 22">
          <a:extLst>
            <a:ext uri="{FF2B5EF4-FFF2-40B4-BE49-F238E27FC236}">
              <a16:creationId xmlns:a16="http://schemas.microsoft.com/office/drawing/2014/main" id="{00000000-0008-0000-0300-000052620000}"/>
            </a:ext>
          </a:extLst>
        </xdr:cNvPr>
        <xdr:cNvSpPr>
          <a:spLocks noChangeShapeType="1"/>
        </xdr:cNvSpPr>
      </xdr:nvSpPr>
      <xdr:spPr bwMode="auto">
        <a:xfrm flipV="1">
          <a:off x="12458700" y="0"/>
          <a:ext cx="9525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0</xdr:row>
      <xdr:rowOff>0</xdr:rowOff>
    </xdr:from>
    <xdr:to>
      <xdr:col>32</xdr:col>
      <xdr:colOff>0</xdr:colOff>
      <xdr:row>0</xdr:row>
      <xdr:rowOff>0</xdr:rowOff>
    </xdr:to>
    <xdr:sp macro="" textlink="">
      <xdr:nvSpPr>
        <xdr:cNvPr id="25171" name="Line 23">
          <a:extLst>
            <a:ext uri="{FF2B5EF4-FFF2-40B4-BE49-F238E27FC236}">
              <a16:creationId xmlns:a16="http://schemas.microsoft.com/office/drawing/2014/main" id="{00000000-0008-0000-0300-000053620000}"/>
            </a:ext>
          </a:extLst>
        </xdr:cNvPr>
        <xdr:cNvSpPr>
          <a:spLocks noChangeShapeType="1"/>
        </xdr:cNvSpPr>
      </xdr:nvSpPr>
      <xdr:spPr bwMode="auto">
        <a:xfrm>
          <a:off x="13735050" y="0"/>
          <a:ext cx="50482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6350"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6350"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CE51"/>
  <sheetViews>
    <sheetView showGridLines="0" tabSelected="1" zoomScale="94" zoomScaleNormal="94" workbookViewId="0">
      <selection activeCell="I15" sqref="I15:M15"/>
    </sheetView>
  </sheetViews>
  <sheetFormatPr defaultColWidth="2.88671875" defaultRowHeight="15.6" customHeight="1" x14ac:dyDescent="0.5"/>
  <cols>
    <col min="1" max="15" width="3.33203125" style="140" customWidth="1"/>
    <col min="16" max="16" width="6.6640625" style="140" customWidth="1"/>
    <col min="17" max="19" width="3.33203125" style="140" customWidth="1"/>
    <col min="20" max="20" width="6.6640625" style="140" customWidth="1"/>
    <col min="21" max="23" width="3.33203125" style="140" customWidth="1"/>
    <col min="24" max="24" width="6.6640625" style="140" customWidth="1"/>
    <col min="25" max="27" width="3.33203125" style="140" customWidth="1"/>
    <col min="28" max="28" width="6.6640625" style="140" customWidth="1"/>
    <col min="29" max="29" width="3.33203125" style="140" customWidth="1"/>
    <col min="30" max="30" width="2.88671875" style="140" customWidth="1"/>
    <col min="31" max="31" width="3.33203125" style="140" customWidth="1"/>
    <col min="32" max="32" width="3.33203125" style="170" customWidth="1"/>
    <col min="33" max="73" width="3.33203125" style="210" customWidth="1"/>
    <col min="84" max="16384" width="2.88671875" style="140"/>
  </cols>
  <sheetData>
    <row r="1" spans="1:53" ht="18" customHeight="1" x14ac:dyDescent="0.5">
      <c r="A1" s="243" t="s">
        <v>244</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F1" s="211" t="s">
        <v>245</v>
      </c>
    </row>
    <row r="2" spans="1:53" ht="3" customHeight="1" x14ac:dyDescent="0.5">
      <c r="A2" s="141"/>
      <c r="AC2" s="141"/>
      <c r="AF2" s="212"/>
    </row>
    <row r="3" spans="1:53" ht="15.6" customHeight="1" x14ac:dyDescent="0.5">
      <c r="A3" s="141"/>
      <c r="B3" s="143" t="s">
        <v>199</v>
      </c>
      <c r="C3" s="144" t="s">
        <v>229</v>
      </c>
      <c r="D3" s="142"/>
      <c r="E3" s="142"/>
      <c r="F3" s="142"/>
      <c r="G3" s="209"/>
      <c r="H3" s="209"/>
      <c r="I3" s="209"/>
      <c r="J3" s="209"/>
      <c r="K3" s="209"/>
      <c r="L3" s="209"/>
      <c r="M3" s="209"/>
      <c r="N3" s="209"/>
      <c r="O3" s="209"/>
      <c r="P3" s="142"/>
      <c r="Q3" s="142"/>
      <c r="R3" s="142"/>
      <c r="S3" s="142"/>
      <c r="T3" s="142"/>
      <c r="U3" s="142"/>
      <c r="V3" s="142"/>
      <c r="W3" s="142"/>
      <c r="X3" s="142"/>
      <c r="Y3" s="142"/>
      <c r="Z3" s="142"/>
      <c r="AA3" s="142"/>
      <c r="AB3" s="142"/>
      <c r="AC3" s="141"/>
    </row>
    <row r="4" spans="1:53" ht="15.6" customHeight="1" x14ac:dyDescent="0.5">
      <c r="A4" s="141"/>
      <c r="B4" s="143" t="s">
        <v>199</v>
      </c>
      <c r="C4" s="140" t="s">
        <v>258</v>
      </c>
      <c r="D4" s="145"/>
      <c r="E4" s="145"/>
      <c r="F4" s="145"/>
      <c r="G4" s="145"/>
      <c r="H4" s="145"/>
      <c r="I4" s="151"/>
      <c r="J4" s="152"/>
      <c r="K4" s="152"/>
      <c r="L4" s="152"/>
      <c r="M4" s="152"/>
      <c r="N4" s="152"/>
      <c r="O4" s="152"/>
      <c r="P4" s="152"/>
      <c r="Q4" s="152"/>
      <c r="R4" s="152"/>
      <c r="S4" s="152"/>
      <c r="T4" s="152"/>
      <c r="U4" s="152"/>
      <c r="V4" s="152"/>
      <c r="W4" s="152"/>
      <c r="X4" s="152"/>
      <c r="Y4" s="152"/>
      <c r="Z4" s="152"/>
      <c r="AA4" s="142"/>
      <c r="AB4" s="142"/>
      <c r="AC4" s="141"/>
    </row>
    <row r="5" spans="1:53" ht="14.4" customHeight="1" x14ac:dyDescent="0.5">
      <c r="A5" s="141"/>
      <c r="B5" s="142"/>
      <c r="C5" s="213" t="s">
        <v>256</v>
      </c>
      <c r="D5" s="144" t="s">
        <v>257</v>
      </c>
      <c r="E5" s="142"/>
      <c r="F5" s="142"/>
      <c r="G5" s="142"/>
      <c r="H5" s="209"/>
      <c r="T5" s="152"/>
      <c r="U5" s="152"/>
      <c r="V5" s="152"/>
      <c r="W5" s="152"/>
      <c r="X5" s="152"/>
      <c r="Y5" s="152"/>
      <c r="Z5" s="152"/>
      <c r="AA5" s="142"/>
      <c r="AB5" s="142"/>
      <c r="AC5" s="141"/>
    </row>
    <row r="6" spans="1:53" ht="14.4" customHeight="1" x14ac:dyDescent="0.5">
      <c r="A6" s="141"/>
      <c r="B6" s="142"/>
      <c r="C6" s="213" t="s">
        <v>256</v>
      </c>
      <c r="D6" s="140" t="s">
        <v>252</v>
      </c>
      <c r="T6" s="152"/>
      <c r="U6" s="152"/>
      <c r="V6" s="152"/>
      <c r="W6" s="152"/>
      <c r="X6" s="152"/>
      <c r="Y6" s="152"/>
      <c r="Z6" s="152"/>
      <c r="AA6" s="142"/>
      <c r="AB6" s="142"/>
      <c r="AC6" s="141"/>
    </row>
    <row r="7" spans="1:53" ht="14.4" customHeight="1" x14ac:dyDescent="0.5">
      <c r="A7" s="141"/>
      <c r="B7" s="142"/>
      <c r="C7" s="213" t="s">
        <v>256</v>
      </c>
      <c r="D7" s="140" t="s">
        <v>253</v>
      </c>
      <c r="T7" s="152"/>
      <c r="U7" s="152"/>
      <c r="V7" s="152"/>
      <c r="W7" s="152"/>
      <c r="X7" s="152"/>
      <c r="Y7" s="152"/>
      <c r="Z7" s="152"/>
      <c r="AA7" s="142"/>
      <c r="AB7" s="142"/>
      <c r="AC7" s="141"/>
    </row>
    <row r="8" spans="1:53" ht="14.4" customHeight="1" x14ac:dyDescent="0.5">
      <c r="A8" s="141"/>
      <c r="B8" s="142"/>
      <c r="C8" s="213" t="s">
        <v>256</v>
      </c>
      <c r="D8" s="140" t="s">
        <v>254</v>
      </c>
      <c r="T8" s="152"/>
      <c r="U8" s="152"/>
      <c r="V8" s="152"/>
      <c r="W8" s="152"/>
      <c r="X8" s="152"/>
      <c r="Y8" s="152"/>
      <c r="Z8" s="152"/>
      <c r="AA8" s="142"/>
      <c r="AB8" s="142"/>
      <c r="AC8" s="141"/>
    </row>
    <row r="9" spans="1:53" ht="14.4" customHeight="1" x14ac:dyDescent="0.5">
      <c r="A9" s="141"/>
      <c r="B9" s="142"/>
      <c r="C9" s="213" t="s">
        <v>256</v>
      </c>
      <c r="D9" s="140" t="s">
        <v>255</v>
      </c>
      <c r="T9" s="152"/>
      <c r="U9" s="152"/>
      <c r="V9" s="152"/>
      <c r="W9" s="152"/>
      <c r="X9" s="152"/>
      <c r="Y9" s="152"/>
      <c r="Z9" s="152"/>
      <c r="AA9" s="142"/>
      <c r="AB9" s="142"/>
      <c r="AC9" s="141"/>
    </row>
    <row r="10" spans="1:53" ht="3" customHeight="1" x14ac:dyDescent="0.5">
      <c r="A10" s="141"/>
      <c r="B10" s="142"/>
      <c r="C10" s="149"/>
      <c r="D10" s="145"/>
      <c r="E10" s="145"/>
      <c r="F10" s="145"/>
      <c r="G10" s="145"/>
      <c r="H10" s="145"/>
      <c r="I10" s="151"/>
      <c r="J10" s="152"/>
      <c r="K10" s="152"/>
      <c r="L10" s="152"/>
      <c r="M10" s="152"/>
      <c r="N10" s="152"/>
      <c r="O10" s="152"/>
      <c r="P10" s="152"/>
      <c r="Q10" s="152"/>
      <c r="R10" s="152"/>
      <c r="S10" s="152"/>
      <c r="T10" s="152"/>
      <c r="U10" s="152"/>
      <c r="V10" s="152"/>
      <c r="W10" s="152"/>
      <c r="X10" s="152"/>
      <c r="Y10" s="152"/>
      <c r="Z10" s="152"/>
      <c r="AA10" s="142"/>
      <c r="AB10" s="142"/>
      <c r="AC10" s="141"/>
    </row>
    <row r="11" spans="1:53" ht="15.6" customHeight="1" x14ac:dyDescent="0.5">
      <c r="A11" s="141"/>
      <c r="B11" s="141"/>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row>
    <row r="12" spans="1:53" ht="3" customHeight="1" x14ac:dyDescent="0.5">
      <c r="A12" s="155"/>
      <c r="B12" s="155"/>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row>
    <row r="13" spans="1:53" ht="15.6" customHeight="1" x14ac:dyDescent="0.5">
      <c r="A13" s="142" t="s">
        <v>200</v>
      </c>
      <c r="B13" s="142"/>
      <c r="C13" s="142"/>
      <c r="D13" s="142"/>
      <c r="E13" s="142"/>
      <c r="F13" s="142"/>
      <c r="G13" s="142"/>
      <c r="H13" s="142"/>
      <c r="I13" s="142"/>
      <c r="J13" s="142"/>
      <c r="K13" s="142"/>
      <c r="L13" s="142"/>
      <c r="M13" s="142"/>
      <c r="N13" s="142"/>
      <c r="O13" s="142"/>
      <c r="P13" s="142"/>
      <c r="Q13" s="142"/>
      <c r="R13" s="160"/>
      <c r="S13" s="161"/>
      <c r="T13" s="276" t="s">
        <v>201</v>
      </c>
      <c r="U13" s="276"/>
      <c r="V13" s="276"/>
      <c r="W13" s="276"/>
      <c r="X13" s="162"/>
      <c r="Y13" s="163"/>
      <c r="Z13" s="161" t="s">
        <v>202</v>
      </c>
      <c r="AA13" s="161"/>
      <c r="AB13" s="164"/>
      <c r="AC13" s="142"/>
      <c r="AF13" s="170" t="s">
        <v>248</v>
      </c>
    </row>
    <row r="14" spans="1:53" ht="15.6" customHeight="1" thickBot="1" x14ac:dyDescent="0.55000000000000004">
      <c r="B14" s="142"/>
      <c r="C14" s="142"/>
      <c r="D14" s="142"/>
      <c r="E14" s="142"/>
      <c r="F14" s="142"/>
      <c r="G14" s="142"/>
      <c r="H14" s="142"/>
      <c r="I14" s="277" t="s">
        <v>203</v>
      </c>
      <c r="J14" s="277"/>
      <c r="K14" s="277"/>
      <c r="L14" s="277"/>
      <c r="M14" s="277"/>
      <c r="N14" s="250" t="s">
        <v>204</v>
      </c>
      <c r="O14" s="250"/>
      <c r="P14" s="250"/>
      <c r="Q14" s="250"/>
      <c r="R14" s="250" t="s">
        <v>205</v>
      </c>
      <c r="S14" s="250"/>
      <c r="T14" s="250"/>
      <c r="U14" s="250"/>
      <c r="V14" s="250" t="s">
        <v>206</v>
      </c>
      <c r="W14" s="250"/>
      <c r="X14" s="250"/>
      <c r="Y14" s="250"/>
      <c r="Z14" s="250" t="s">
        <v>231</v>
      </c>
      <c r="AA14" s="250"/>
      <c r="AB14" s="250"/>
      <c r="AC14" s="250"/>
      <c r="AF14" s="278" t="s">
        <v>249</v>
      </c>
      <c r="AG14" s="278"/>
      <c r="AH14" s="278"/>
      <c r="AI14" s="278"/>
      <c r="AJ14" s="278"/>
      <c r="AK14" s="278"/>
      <c r="AL14" s="278"/>
      <c r="AM14" s="278"/>
      <c r="AN14" s="278"/>
      <c r="AO14" s="278"/>
      <c r="AP14" s="278"/>
      <c r="AQ14" s="278"/>
      <c r="AR14" s="278"/>
      <c r="AS14" s="278"/>
      <c r="AT14" s="278"/>
      <c r="AU14" s="278"/>
      <c r="AV14" s="278"/>
      <c r="AW14" s="278"/>
      <c r="AX14" s="278"/>
      <c r="AY14" s="278"/>
      <c r="AZ14" s="278"/>
      <c r="BA14" s="278"/>
    </row>
    <row r="15" spans="1:53" ht="15.6" customHeight="1" thickTop="1" thickBot="1" x14ac:dyDescent="0.55000000000000004">
      <c r="A15" s="143" t="s">
        <v>207</v>
      </c>
      <c r="B15" s="250" t="s">
        <v>208</v>
      </c>
      <c r="C15" s="250"/>
      <c r="D15" s="250"/>
      <c r="E15" s="250"/>
      <c r="F15" s="250"/>
      <c r="G15" s="250"/>
      <c r="H15" s="251"/>
      <c r="I15" s="270" t="s">
        <v>234</v>
      </c>
      <c r="J15" s="271"/>
      <c r="K15" s="271"/>
      <c r="L15" s="271"/>
      <c r="M15" s="272"/>
      <c r="N15" s="273"/>
      <c r="O15" s="274"/>
      <c r="P15" s="274"/>
      <c r="Q15" s="273"/>
      <c r="R15" s="275"/>
      <c r="S15" s="275"/>
      <c r="T15" s="275"/>
      <c r="U15" s="275"/>
      <c r="V15" s="275"/>
      <c r="W15" s="275"/>
      <c r="X15" s="275"/>
      <c r="Y15" s="275"/>
      <c r="Z15" s="275"/>
      <c r="AA15" s="275"/>
      <c r="AB15" s="275"/>
      <c r="AC15" s="275"/>
      <c r="AF15" s="278"/>
      <c r="AG15" s="278"/>
      <c r="AH15" s="278"/>
      <c r="AI15" s="278"/>
      <c r="AJ15" s="278"/>
      <c r="AK15" s="278"/>
      <c r="AL15" s="278"/>
      <c r="AM15" s="278"/>
      <c r="AN15" s="278"/>
      <c r="AO15" s="278"/>
      <c r="AP15" s="278"/>
      <c r="AQ15" s="278"/>
      <c r="AR15" s="278"/>
      <c r="AS15" s="278"/>
      <c r="AT15" s="278"/>
      <c r="AU15" s="278"/>
      <c r="AV15" s="278"/>
      <c r="AW15" s="278"/>
      <c r="AX15" s="278"/>
      <c r="AY15" s="278"/>
      <c r="AZ15" s="278"/>
      <c r="BA15" s="278"/>
    </row>
    <row r="16" spans="1:53" ht="15.6" customHeight="1" thickTop="1" thickBot="1" x14ac:dyDescent="0.55000000000000004">
      <c r="A16" s="143" t="s">
        <v>209</v>
      </c>
      <c r="B16" s="250" t="s">
        <v>210</v>
      </c>
      <c r="C16" s="250"/>
      <c r="D16" s="250"/>
      <c r="E16" s="250"/>
      <c r="F16" s="250"/>
      <c r="G16" s="250"/>
      <c r="H16" s="251"/>
      <c r="I16" s="280"/>
      <c r="J16" s="281"/>
      <c r="K16" s="281"/>
      <c r="L16" s="281"/>
      <c r="M16" s="281"/>
      <c r="N16" s="244"/>
      <c r="O16" s="245"/>
      <c r="P16" s="245"/>
      <c r="Q16" s="246"/>
      <c r="R16" s="244"/>
      <c r="S16" s="245"/>
      <c r="T16" s="245"/>
      <c r="U16" s="246"/>
      <c r="V16" s="244"/>
      <c r="W16" s="245"/>
      <c r="X16" s="245"/>
      <c r="Y16" s="246"/>
      <c r="Z16" s="244"/>
      <c r="AA16" s="245"/>
      <c r="AB16" s="245"/>
      <c r="AC16" s="245"/>
      <c r="AD16" s="220"/>
    </row>
    <row r="17" spans="1:57" ht="15.6" customHeight="1" thickTop="1" thickBot="1" x14ac:dyDescent="0.55000000000000004">
      <c r="A17" s="143" t="s">
        <v>211</v>
      </c>
      <c r="B17" s="252" t="s">
        <v>230</v>
      </c>
      <c r="C17" s="238"/>
      <c r="D17" s="238"/>
      <c r="E17" s="238"/>
      <c r="F17" s="238"/>
      <c r="G17" s="238"/>
      <c r="H17" s="238"/>
      <c r="I17" s="253"/>
      <c r="J17" s="253"/>
      <c r="K17" s="253"/>
      <c r="L17" s="253"/>
      <c r="M17" s="253"/>
      <c r="N17" s="253"/>
      <c r="O17" s="253"/>
      <c r="P17" s="253"/>
      <c r="Q17" s="253"/>
      <c r="R17" s="253"/>
      <c r="S17" s="253"/>
      <c r="T17" s="253"/>
      <c r="U17" s="253"/>
      <c r="V17" s="253"/>
      <c r="W17" s="253"/>
      <c r="X17" s="253"/>
      <c r="Y17" s="253"/>
      <c r="Z17" s="253"/>
      <c r="AA17" s="253"/>
      <c r="AB17" s="253"/>
      <c r="AC17" s="254"/>
    </row>
    <row r="18" spans="1:57" ht="15.6" customHeight="1" thickTop="1" x14ac:dyDescent="0.5">
      <c r="A18" s="143"/>
      <c r="B18" s="255" t="s">
        <v>212</v>
      </c>
      <c r="C18" s="255"/>
      <c r="D18" s="255"/>
      <c r="E18" s="255"/>
      <c r="F18" s="255"/>
      <c r="G18" s="255"/>
      <c r="H18" s="256"/>
      <c r="I18" s="264"/>
      <c r="J18" s="265"/>
      <c r="K18" s="265"/>
      <c r="L18" s="265"/>
      <c r="M18" s="265"/>
      <c r="N18" s="257"/>
      <c r="O18" s="258"/>
      <c r="P18" s="258"/>
      <c r="Q18" s="282"/>
      <c r="R18" s="257"/>
      <c r="S18" s="258"/>
      <c r="T18" s="258"/>
      <c r="U18" s="282"/>
      <c r="V18" s="257"/>
      <c r="W18" s="258"/>
      <c r="X18" s="258"/>
      <c r="Y18" s="282"/>
      <c r="Z18" s="257"/>
      <c r="AA18" s="258"/>
      <c r="AB18" s="258"/>
      <c r="AC18" s="259"/>
    </row>
    <row r="19" spans="1:57" ht="15.6" customHeight="1" x14ac:dyDescent="0.5">
      <c r="A19" s="143"/>
      <c r="B19" s="250" t="s">
        <v>246</v>
      </c>
      <c r="C19" s="250"/>
      <c r="D19" s="250"/>
      <c r="E19" s="250"/>
      <c r="F19" s="250"/>
      <c r="G19" s="250"/>
      <c r="H19" s="240"/>
      <c r="I19" s="266"/>
      <c r="J19" s="267"/>
      <c r="K19" s="267"/>
      <c r="L19" s="267"/>
      <c r="M19" s="267"/>
      <c r="N19" s="260"/>
      <c r="O19" s="261"/>
      <c r="P19" s="261"/>
      <c r="Q19" s="263"/>
      <c r="R19" s="260"/>
      <c r="S19" s="261"/>
      <c r="T19" s="261"/>
      <c r="U19" s="263"/>
      <c r="V19" s="260"/>
      <c r="W19" s="261"/>
      <c r="X19" s="261"/>
      <c r="Y19" s="263"/>
      <c r="Z19" s="260"/>
      <c r="AA19" s="261"/>
      <c r="AB19" s="261"/>
      <c r="AC19" s="262"/>
    </row>
    <row r="20" spans="1:57" ht="15.6" customHeight="1" thickBot="1" x14ac:dyDescent="0.55000000000000004">
      <c r="A20" s="143"/>
      <c r="B20" s="250" t="s">
        <v>213</v>
      </c>
      <c r="C20" s="250"/>
      <c r="D20" s="250"/>
      <c r="E20" s="250"/>
      <c r="F20" s="250"/>
      <c r="G20" s="250"/>
      <c r="H20" s="240"/>
      <c r="I20" s="268"/>
      <c r="J20" s="269"/>
      <c r="K20" s="269"/>
      <c r="L20" s="269"/>
      <c r="M20" s="269"/>
      <c r="N20" s="247"/>
      <c r="O20" s="248"/>
      <c r="P20" s="248"/>
      <c r="Q20" s="249"/>
      <c r="R20" s="247"/>
      <c r="S20" s="248"/>
      <c r="T20" s="248"/>
      <c r="U20" s="249"/>
      <c r="V20" s="247"/>
      <c r="W20" s="248"/>
      <c r="X20" s="248"/>
      <c r="Y20" s="249"/>
      <c r="Z20" s="247"/>
      <c r="AA20" s="248"/>
      <c r="AB20" s="248"/>
      <c r="AC20" s="285"/>
      <c r="AE20" s="137"/>
    </row>
    <row r="21" spans="1:57" ht="15.6" customHeight="1" thickTop="1" x14ac:dyDescent="0.5">
      <c r="B21" s="250" t="s">
        <v>214</v>
      </c>
      <c r="C21" s="250"/>
      <c r="D21" s="250"/>
      <c r="E21" s="250"/>
      <c r="F21" s="250"/>
      <c r="G21" s="250"/>
      <c r="H21" s="250"/>
      <c r="I21" s="224">
        <f>SUM(I18:M20)</f>
        <v>0</v>
      </c>
      <c r="J21" s="224"/>
      <c r="K21" s="224"/>
      <c r="L21" s="224"/>
      <c r="M21" s="224"/>
      <c r="N21" s="224">
        <f>SUM(N18:Q20)</f>
        <v>0</v>
      </c>
      <c r="O21" s="224"/>
      <c r="P21" s="224"/>
      <c r="Q21" s="224"/>
      <c r="R21" s="224">
        <f t="shared" ref="R21" si="0">SUM(R18:U20)</f>
        <v>0</v>
      </c>
      <c r="S21" s="224"/>
      <c r="T21" s="224"/>
      <c r="U21" s="224"/>
      <c r="V21" s="224">
        <f t="shared" ref="V21" si="1">SUM(V18:Y20)</f>
        <v>0</v>
      </c>
      <c r="W21" s="224"/>
      <c r="X21" s="224"/>
      <c r="Y21" s="224"/>
      <c r="Z21" s="224">
        <f t="shared" ref="Z21" si="2">SUM(Z18:AC20)</f>
        <v>0</v>
      </c>
      <c r="AA21" s="224"/>
      <c r="AB21" s="224"/>
      <c r="AC21" s="224"/>
    </row>
    <row r="22" spans="1:57" ht="3" customHeight="1" x14ac:dyDescent="0.5">
      <c r="F22" s="279"/>
      <c r="G22" s="279"/>
      <c r="H22" s="279"/>
      <c r="I22" s="279"/>
      <c r="J22" s="279"/>
      <c r="K22" s="150"/>
      <c r="L22" s="283"/>
      <c r="M22" s="283"/>
      <c r="N22" s="283"/>
      <c r="O22" s="283"/>
      <c r="P22" s="150"/>
      <c r="Q22" s="284"/>
      <c r="R22" s="284"/>
      <c r="S22" s="284"/>
      <c r="T22" s="150"/>
      <c r="U22" s="283"/>
      <c r="V22" s="283"/>
      <c r="W22" s="283"/>
      <c r="X22" s="150"/>
      <c r="Y22" s="283"/>
      <c r="Z22" s="283"/>
      <c r="AA22" s="283"/>
      <c r="AB22" s="150"/>
    </row>
    <row r="23" spans="1:57" ht="15.6" customHeight="1" x14ac:dyDescent="0.5">
      <c r="B23" s="142" t="s">
        <v>215</v>
      </c>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54"/>
    </row>
    <row r="24" spans="1:57" ht="15.6" customHeight="1" x14ac:dyDescent="0.5">
      <c r="B24" s="142"/>
      <c r="C24" s="142" t="s">
        <v>250</v>
      </c>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70"/>
    </row>
    <row r="25" spans="1:57" ht="15.6" customHeight="1" x14ac:dyDescent="0.5">
      <c r="B25" s="142"/>
      <c r="C25" s="142" t="s">
        <v>261</v>
      </c>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row>
    <row r="26" spans="1:57" ht="15.6" customHeight="1" x14ac:dyDescent="0.5">
      <c r="B26" s="142" t="s">
        <v>216</v>
      </c>
      <c r="C26" s="142"/>
      <c r="D26" s="142"/>
      <c r="E26" s="142"/>
      <c r="F26" s="142"/>
      <c r="G26" s="142"/>
      <c r="H26" s="142"/>
      <c r="I26" s="142"/>
      <c r="J26" s="142"/>
      <c r="K26" s="142"/>
    </row>
    <row r="27" spans="1:57" ht="15.6" customHeight="1" x14ac:dyDescent="0.5">
      <c r="B27" s="142"/>
      <c r="C27" s="142" t="s">
        <v>232</v>
      </c>
      <c r="D27" s="142"/>
      <c r="E27" s="142"/>
      <c r="F27" s="142"/>
      <c r="G27" s="142"/>
      <c r="H27" s="142"/>
      <c r="I27" s="142"/>
      <c r="J27" s="142"/>
      <c r="K27" s="142"/>
      <c r="BE27" s="137"/>
    </row>
    <row r="28" spans="1:57" ht="15.6" customHeight="1" x14ac:dyDescent="0.5">
      <c r="B28" s="142"/>
      <c r="C28" s="142" t="s">
        <v>217</v>
      </c>
      <c r="D28" s="142"/>
      <c r="E28" s="142"/>
      <c r="F28" s="142"/>
      <c r="G28" s="142"/>
      <c r="H28" s="142"/>
      <c r="I28" s="142"/>
      <c r="J28" s="142"/>
      <c r="K28" s="142"/>
    </row>
    <row r="29" spans="1:57" ht="15.6" customHeight="1" x14ac:dyDescent="0.5">
      <c r="B29" s="142" t="s">
        <v>218</v>
      </c>
      <c r="C29" s="142"/>
      <c r="D29" s="142"/>
      <c r="E29" s="142"/>
      <c r="F29" s="142"/>
      <c r="G29" s="142"/>
      <c r="H29" s="142"/>
      <c r="I29" s="142"/>
      <c r="J29" s="142"/>
      <c r="AD29" s="137"/>
    </row>
    <row r="30" spans="1:57" ht="15.6" customHeight="1" x14ac:dyDescent="0.5">
      <c r="B30" s="142"/>
      <c r="C30" s="142" t="s">
        <v>247</v>
      </c>
      <c r="D30" s="142"/>
      <c r="E30" s="142"/>
      <c r="F30" s="142"/>
      <c r="G30" s="142"/>
      <c r="H30" s="142"/>
      <c r="I30" s="142"/>
      <c r="J30" s="142"/>
    </row>
    <row r="31" spans="1:57" ht="15.6" customHeight="1" x14ac:dyDescent="0.5">
      <c r="C31" s="185" t="s">
        <v>219</v>
      </c>
      <c r="D31" s="152" t="s">
        <v>220</v>
      </c>
      <c r="E31" s="142"/>
      <c r="F31" s="142"/>
      <c r="G31" s="142"/>
      <c r="AB31" s="157"/>
    </row>
    <row r="32" spans="1:57" ht="3" customHeight="1" x14ac:dyDescent="0.5"/>
    <row r="33" spans="1:59" ht="15.6" customHeight="1" x14ac:dyDescent="0.5">
      <c r="A33" s="233" t="s">
        <v>221</v>
      </c>
      <c r="B33" s="233"/>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row>
    <row r="34" spans="1:59" s="137" customFormat="1" ht="4.8" customHeight="1" x14ac:dyDescent="0.5">
      <c r="A34" s="207"/>
      <c r="B34" s="208"/>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7"/>
      <c r="AD34" s="140"/>
      <c r="AE34" s="140"/>
      <c r="AF34" s="17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210"/>
      <c r="BG34" s="210"/>
    </row>
    <row r="35" spans="1:59" ht="15.6" customHeight="1" thickBot="1" x14ac:dyDescent="0.55000000000000004">
      <c r="A35" s="136"/>
      <c r="B35" s="137"/>
      <c r="C35" s="134" t="s">
        <v>241</v>
      </c>
      <c r="D35" s="134"/>
      <c r="E35" s="134"/>
      <c r="F35" s="137"/>
      <c r="G35" s="137"/>
      <c r="H35" s="137"/>
      <c r="I35" s="221">
        <f>試算表!CQ2</f>
        <v>0</v>
      </c>
      <c r="J35" s="137" t="s">
        <v>242</v>
      </c>
      <c r="K35" s="137"/>
      <c r="L35" s="231" t="str">
        <f>IF(試算表!DD2="","軽減なし",試算表!DD2)</f>
        <v>７割軽減</v>
      </c>
      <c r="M35" s="231"/>
      <c r="N35" s="232"/>
      <c r="O35" s="134" t="s">
        <v>226</v>
      </c>
      <c r="P35" s="135"/>
      <c r="Q35" s="135"/>
      <c r="R35" s="137"/>
      <c r="S35" s="137"/>
      <c r="T35" s="137"/>
      <c r="U35" s="137"/>
      <c r="V35" s="137"/>
      <c r="W35" s="139"/>
      <c r="X35" s="134"/>
      <c r="Y35" s="133"/>
      <c r="Z35" s="133"/>
      <c r="AA35" s="133"/>
      <c r="AB35" s="133"/>
      <c r="AC35" s="136"/>
    </row>
    <row r="36" spans="1:59" ht="15.6" customHeight="1" thickTop="1" x14ac:dyDescent="0.5">
      <c r="A36" s="186"/>
      <c r="C36" s="187" t="s">
        <v>207</v>
      </c>
      <c r="D36" s="238" t="s">
        <v>222</v>
      </c>
      <c r="E36" s="238"/>
      <c r="F36" s="238"/>
      <c r="G36" s="238"/>
      <c r="H36" s="239"/>
      <c r="I36" s="222">
        <f>試算表!CZ34</f>
        <v>0</v>
      </c>
      <c r="J36" s="223"/>
      <c r="K36" s="223"/>
      <c r="L36" s="223"/>
      <c r="M36" s="223"/>
      <c r="N36" s="188" t="s">
        <v>223</v>
      </c>
      <c r="O36" s="189"/>
      <c r="P36" s="227" t="s">
        <v>237</v>
      </c>
      <c r="Q36" s="228"/>
      <c r="R36" s="228"/>
      <c r="S36" s="225"/>
      <c r="T36" s="234">
        <f>試算表!DK34</f>
        <v>0</v>
      </c>
      <c r="U36" s="235"/>
      <c r="V36" s="225" t="s">
        <v>238</v>
      </c>
      <c r="AC36" s="190"/>
      <c r="BF36" s="137"/>
      <c r="BG36" s="137"/>
    </row>
    <row r="37" spans="1:59" ht="15.6" customHeight="1" thickBot="1" x14ac:dyDescent="0.55000000000000004">
      <c r="A37" s="186"/>
      <c r="C37" s="187" t="s">
        <v>209</v>
      </c>
      <c r="D37" s="238" t="s">
        <v>224</v>
      </c>
      <c r="E37" s="238"/>
      <c r="F37" s="238"/>
      <c r="G37" s="238"/>
      <c r="H37" s="239"/>
      <c r="I37" s="222">
        <f>試算表!CZ35</f>
        <v>0</v>
      </c>
      <c r="J37" s="223"/>
      <c r="K37" s="223"/>
      <c r="L37" s="223"/>
      <c r="M37" s="223"/>
      <c r="N37" s="188" t="s">
        <v>223</v>
      </c>
      <c r="O37" s="189"/>
      <c r="P37" s="229"/>
      <c r="Q37" s="230"/>
      <c r="R37" s="230"/>
      <c r="S37" s="226"/>
      <c r="T37" s="236"/>
      <c r="U37" s="237"/>
      <c r="V37" s="226"/>
      <c r="AA37" s="165"/>
      <c r="AB37" s="165"/>
      <c r="AC37" s="191"/>
    </row>
    <row r="38" spans="1:59" ht="15.6" customHeight="1" thickTop="1" x14ac:dyDescent="0.5">
      <c r="A38" s="186"/>
      <c r="C38" s="187" t="s">
        <v>211</v>
      </c>
      <c r="D38" s="238" t="s">
        <v>225</v>
      </c>
      <c r="E38" s="238"/>
      <c r="F38" s="238"/>
      <c r="G38" s="238"/>
      <c r="H38" s="239"/>
      <c r="I38" s="222">
        <f>試算表!CZ36</f>
        <v>0</v>
      </c>
      <c r="J38" s="223"/>
      <c r="K38" s="223"/>
      <c r="L38" s="223"/>
      <c r="M38" s="223"/>
      <c r="N38" s="188" t="s">
        <v>223</v>
      </c>
      <c r="O38" s="189"/>
      <c r="P38" s="192" t="s">
        <v>240</v>
      </c>
      <c r="Q38" s="192"/>
      <c r="R38" s="192"/>
      <c r="S38" s="192"/>
      <c r="T38" s="192"/>
      <c r="U38" s="192"/>
      <c r="V38" s="192"/>
      <c r="W38" s="192"/>
      <c r="X38" s="192"/>
      <c r="Y38" s="192"/>
      <c r="Z38" s="192"/>
      <c r="AA38" s="192"/>
      <c r="AB38" s="192"/>
      <c r="AC38" s="193"/>
    </row>
    <row r="39" spans="1:59" ht="15.6" customHeight="1" x14ac:dyDescent="0.5">
      <c r="A39" s="186"/>
      <c r="C39" s="240" t="s">
        <v>227</v>
      </c>
      <c r="D39" s="241"/>
      <c r="E39" s="241"/>
      <c r="F39" s="241"/>
      <c r="G39" s="241"/>
      <c r="H39" s="242"/>
      <c r="I39" s="222">
        <f>試算表!CZ37</f>
        <v>0</v>
      </c>
      <c r="J39" s="223"/>
      <c r="K39" s="223"/>
      <c r="L39" s="223"/>
      <c r="M39" s="223"/>
      <c r="N39" s="188" t="s">
        <v>223</v>
      </c>
      <c r="O39" s="142"/>
      <c r="P39" s="192" t="s">
        <v>239</v>
      </c>
      <c r="Q39" s="192"/>
      <c r="R39" s="192"/>
      <c r="S39" s="192"/>
      <c r="T39" s="192"/>
      <c r="U39" s="192"/>
      <c r="V39" s="192"/>
      <c r="W39" s="192"/>
      <c r="X39" s="192"/>
      <c r="Y39" s="192"/>
      <c r="Z39" s="192"/>
      <c r="AA39" s="192"/>
      <c r="AB39" s="192"/>
      <c r="AC39" s="193"/>
    </row>
    <row r="40" spans="1:59" ht="3" customHeight="1" x14ac:dyDescent="0.5">
      <c r="A40" s="186"/>
      <c r="B40" s="142"/>
      <c r="C40" s="142"/>
      <c r="D40" s="142"/>
      <c r="E40" s="142"/>
      <c r="F40" s="142"/>
      <c r="G40" s="142"/>
      <c r="H40" s="142"/>
      <c r="I40" s="142"/>
      <c r="J40" s="142"/>
      <c r="K40" s="142"/>
      <c r="L40" s="142"/>
      <c r="M40" s="142"/>
      <c r="N40" s="142"/>
      <c r="O40" s="142"/>
      <c r="P40" s="142"/>
      <c r="AC40" s="194"/>
    </row>
    <row r="41" spans="1:59" ht="15.6" customHeight="1" x14ac:dyDescent="0.5">
      <c r="A41" s="186"/>
      <c r="B41" s="143" t="s">
        <v>219</v>
      </c>
      <c r="C41" s="142" t="s">
        <v>236</v>
      </c>
      <c r="D41" s="142"/>
      <c r="E41" s="142"/>
      <c r="F41" s="142"/>
      <c r="G41" s="142"/>
      <c r="H41" s="142"/>
      <c r="I41" s="142"/>
      <c r="J41" s="142"/>
      <c r="K41" s="142"/>
      <c r="L41" s="142"/>
      <c r="M41" s="142"/>
      <c r="N41" s="142"/>
      <c r="O41" s="142"/>
      <c r="P41" s="142"/>
      <c r="AC41" s="194"/>
    </row>
    <row r="42" spans="1:59" ht="15.6" customHeight="1" x14ac:dyDescent="0.5">
      <c r="A42" s="186"/>
      <c r="B42" s="143"/>
      <c r="C42" s="142" t="s">
        <v>251</v>
      </c>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86"/>
    </row>
    <row r="43" spans="1:59" ht="15.6" customHeight="1" x14ac:dyDescent="0.5">
      <c r="A43" s="186"/>
      <c r="B43" s="143" t="s">
        <v>219</v>
      </c>
      <c r="C43" s="142" t="s">
        <v>228</v>
      </c>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86"/>
    </row>
    <row r="44" spans="1:59" ht="4.8" customHeight="1" x14ac:dyDescent="0.5">
      <c r="A44" s="186"/>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86"/>
    </row>
    <row r="45" spans="1:59" ht="15.6" customHeight="1" x14ac:dyDescent="0.5">
      <c r="A45" s="186"/>
      <c r="B45" s="195"/>
      <c r="C45" s="186"/>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row>
    <row r="46" spans="1:59" ht="15.6" customHeight="1" x14ac:dyDescent="0.5">
      <c r="H46" s="209"/>
      <c r="I46" s="209"/>
      <c r="J46" s="209"/>
      <c r="K46" s="209"/>
      <c r="L46" s="209"/>
      <c r="M46" s="209"/>
      <c r="N46" s="209"/>
      <c r="O46" s="209"/>
      <c r="P46" s="142"/>
      <c r="Q46" s="142"/>
      <c r="R46" s="142"/>
      <c r="S46" s="142"/>
      <c r="T46" s="142"/>
      <c r="U46" s="142"/>
      <c r="V46" s="142"/>
      <c r="W46" s="142"/>
      <c r="X46" s="142"/>
      <c r="Y46" s="142"/>
      <c r="Z46" s="142"/>
      <c r="AA46" s="142"/>
      <c r="AB46" s="142"/>
    </row>
    <row r="47" spans="1:59" ht="15.6" customHeight="1" x14ac:dyDescent="0.5">
      <c r="B47" s="143"/>
      <c r="C47" s="144"/>
      <c r="D47" s="142"/>
      <c r="E47" s="142"/>
      <c r="F47" s="142"/>
      <c r="G47" s="209"/>
    </row>
    <row r="48" spans="1:59" ht="15.6" customHeight="1" x14ac:dyDescent="0.5">
      <c r="B48" s="143"/>
    </row>
    <row r="49" spans="2:2" ht="15.6" customHeight="1" x14ac:dyDescent="0.5">
      <c r="B49" s="143"/>
    </row>
    <row r="50" spans="2:2" ht="15.6" customHeight="1" x14ac:dyDescent="0.5">
      <c r="B50" s="143"/>
    </row>
    <row r="51" spans="2:2" ht="15.6" customHeight="1" x14ac:dyDescent="0.5">
      <c r="B51" s="143"/>
    </row>
  </sheetData>
  <sheetProtection password="D117" sheet="1" objects="1" selectLockedCells="1"/>
  <protectedRanges>
    <protectedRange sqref="I15:I16 N16 R16 V16 Z16 I18:I20 N18:N20 R18:R20 V18:V20 Z18:Z20" name="範囲1"/>
  </protectedRanges>
  <mergeCells count="63">
    <mergeCell ref="AF14:BA15"/>
    <mergeCell ref="F22:J22"/>
    <mergeCell ref="I16:M16"/>
    <mergeCell ref="V18:Y18"/>
    <mergeCell ref="R18:U18"/>
    <mergeCell ref="R19:U19"/>
    <mergeCell ref="V16:Y16"/>
    <mergeCell ref="U22:W22"/>
    <mergeCell ref="L22:O22"/>
    <mergeCell ref="Q22:S22"/>
    <mergeCell ref="N18:Q18"/>
    <mergeCell ref="N19:Q19"/>
    <mergeCell ref="R20:U20"/>
    <mergeCell ref="Y22:AA22"/>
    <mergeCell ref="Z16:AC16"/>
    <mergeCell ref="Z20:AC20"/>
    <mergeCell ref="B15:H15"/>
    <mergeCell ref="T13:W13"/>
    <mergeCell ref="I14:M14"/>
    <mergeCell ref="N14:Q14"/>
    <mergeCell ref="R14:U14"/>
    <mergeCell ref="V14:Y14"/>
    <mergeCell ref="I18:M18"/>
    <mergeCell ref="I19:M19"/>
    <mergeCell ref="N21:Q21"/>
    <mergeCell ref="I20:M20"/>
    <mergeCell ref="Z14:AC14"/>
    <mergeCell ref="I15:M15"/>
    <mergeCell ref="N15:Q15"/>
    <mergeCell ref="R15:U15"/>
    <mergeCell ref="V15:Y15"/>
    <mergeCell ref="Z15:AC15"/>
    <mergeCell ref="A1:AC1"/>
    <mergeCell ref="I38:M38"/>
    <mergeCell ref="N16:Q16"/>
    <mergeCell ref="R16:U16"/>
    <mergeCell ref="N20:Q20"/>
    <mergeCell ref="B20:H20"/>
    <mergeCell ref="B21:H21"/>
    <mergeCell ref="B16:H16"/>
    <mergeCell ref="B17:AC17"/>
    <mergeCell ref="B18:H18"/>
    <mergeCell ref="B19:H19"/>
    <mergeCell ref="V21:Y21"/>
    <mergeCell ref="Z18:AC18"/>
    <mergeCell ref="Z19:AC19"/>
    <mergeCell ref="V20:Y20"/>
    <mergeCell ref="V19:Y19"/>
    <mergeCell ref="I39:M39"/>
    <mergeCell ref="R21:U21"/>
    <mergeCell ref="V36:V37"/>
    <mergeCell ref="P36:S37"/>
    <mergeCell ref="L35:N35"/>
    <mergeCell ref="A33:AC33"/>
    <mergeCell ref="T36:U37"/>
    <mergeCell ref="I36:M36"/>
    <mergeCell ref="I37:M37"/>
    <mergeCell ref="D36:H36"/>
    <mergeCell ref="D37:H37"/>
    <mergeCell ref="D38:H38"/>
    <mergeCell ref="C39:H39"/>
    <mergeCell ref="I21:M21"/>
    <mergeCell ref="Z21:AC21"/>
  </mergeCells>
  <phoneticPr fontId="2"/>
  <dataValidations count="1">
    <dataValidation imeMode="off" allowBlank="1" showInputMessage="1" showErrorMessage="1" sqref="I18:AC20" xr:uid="{00000000-0002-0000-0100-000004000000}"/>
  </dataValidations>
  <printOptions horizontalCentered="1" verticalCentered="1"/>
  <pageMargins left="0" right="0" top="0.98425196850393704" bottom="0.98425196850393704" header="0.51181102362204722" footer="0.51181102362204722"/>
  <pageSetup paperSize="9" scale="77" orientation="landscape" horizontalDpi="4294967293" verticalDpi="160"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EF530E78-A275-4631-823D-A7ECADBC5D74}">
          <x14:formula1>
            <xm:f>試算表!$CG$29:$CG$31</xm:f>
          </x14:formula1>
          <xm:sqref>I16:M16</xm:sqref>
        </x14:dataValidation>
        <x14:dataValidation type="list" allowBlank="1" showInputMessage="1" showErrorMessage="1" xr:uid="{00000000-0002-0000-0100-000001000000}">
          <x14:formula1>
            <xm:f>試算表!$CG$27:$CG$31</xm:f>
          </x14:formula1>
          <xm:sqref>N16:AC16</xm:sqref>
        </x14:dataValidation>
        <x14:dataValidation type="list" allowBlank="1" showInputMessage="1" showErrorMessage="1" xr:uid="{5CF3CE74-4914-44CA-849C-A7CB8C0988D3}">
          <x14:formula1>
            <xm:f>試算表!$DJ$9:$DJ$10</xm:f>
          </x14:formula1>
          <xm:sqref>I15:M15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CF37"/>
  <sheetViews>
    <sheetView zoomScaleNormal="100" workbookViewId="0">
      <selection activeCell="B16" sqref="B16:N16"/>
    </sheetView>
  </sheetViews>
  <sheetFormatPr defaultColWidth="3.33203125" defaultRowHeight="12.6" customHeight="1" x14ac:dyDescent="0.2"/>
  <cols>
    <col min="1" max="1" width="1.21875" customWidth="1"/>
    <col min="2" max="31" width="3.88671875" customWidth="1"/>
    <col min="32" max="32" width="1.21875" customWidth="1"/>
    <col min="75" max="79" width="2.88671875" style="140" customWidth="1"/>
    <col min="80" max="84" width="3.33203125" style="140"/>
  </cols>
  <sheetData>
    <row r="1" spans="1:32" ht="12.6" customHeight="1" x14ac:dyDescent="0.2">
      <c r="B1" s="328" t="s">
        <v>233</v>
      </c>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row>
    <row r="2" spans="1:32" ht="12.6" customHeight="1" x14ac:dyDescent="0.2">
      <c r="A2" s="18" t="s">
        <v>97</v>
      </c>
      <c r="B2" s="18"/>
      <c r="C2" s="18"/>
      <c r="D2" s="18"/>
      <c r="E2" s="18"/>
      <c r="F2" s="18"/>
      <c r="G2" s="18"/>
      <c r="H2" s="18"/>
      <c r="I2" s="18"/>
      <c r="J2" s="18"/>
      <c r="K2" s="18"/>
      <c r="L2" s="11"/>
      <c r="M2" s="11"/>
      <c r="N2" s="18"/>
      <c r="O2" s="18"/>
      <c r="P2" s="18"/>
      <c r="Q2" s="18"/>
      <c r="R2" s="18"/>
      <c r="S2" s="18"/>
      <c r="T2" s="18"/>
      <c r="U2" s="18"/>
      <c r="V2" s="18"/>
      <c r="W2" s="19"/>
      <c r="X2" s="19"/>
      <c r="Y2" s="18"/>
      <c r="Z2" s="18"/>
      <c r="AA2" s="18"/>
      <c r="AB2" s="18"/>
      <c r="AC2" s="18"/>
      <c r="AD2" s="18"/>
      <c r="AE2" s="18"/>
      <c r="AF2" s="18"/>
    </row>
    <row r="3" spans="1:32" ht="12.6" customHeight="1" thickBot="1" x14ac:dyDescent="0.25">
      <c r="A3" s="18"/>
      <c r="B3" s="17" t="s">
        <v>63</v>
      </c>
      <c r="C3" s="11"/>
      <c r="D3" s="3"/>
      <c r="E3" s="3"/>
      <c r="F3" s="3"/>
      <c r="G3" s="3"/>
      <c r="H3" s="11"/>
      <c r="I3" s="11"/>
      <c r="J3" s="11"/>
      <c r="K3" s="11"/>
      <c r="L3" s="11"/>
      <c r="M3" s="11"/>
      <c r="N3" s="11"/>
      <c r="O3" s="13"/>
      <c r="P3" s="13"/>
      <c r="Q3" s="13"/>
      <c r="R3" s="13"/>
      <c r="S3" s="13"/>
      <c r="T3" s="16"/>
      <c r="U3" s="16"/>
      <c r="V3" s="18"/>
      <c r="W3" s="18"/>
      <c r="X3" s="18"/>
      <c r="Y3" s="18"/>
      <c r="Z3" s="18"/>
      <c r="AA3" s="18"/>
      <c r="AB3" s="18"/>
      <c r="AC3" s="18"/>
      <c r="AD3" s="18"/>
      <c r="AE3" s="18"/>
      <c r="AF3" s="18"/>
    </row>
    <row r="4" spans="1:32" ht="12.6" customHeight="1" x14ac:dyDescent="0.2">
      <c r="A4" s="18"/>
      <c r="B4" s="294" t="s">
        <v>12</v>
      </c>
      <c r="C4" s="295"/>
      <c r="D4" s="295"/>
      <c r="E4" s="295"/>
      <c r="F4" s="295"/>
      <c r="G4" s="295"/>
      <c r="H4" s="295"/>
      <c r="I4" s="295"/>
      <c r="J4" s="295"/>
      <c r="K4" s="296"/>
      <c r="L4" s="329" t="s">
        <v>13</v>
      </c>
      <c r="M4" s="330"/>
      <c r="N4" s="330"/>
      <c r="O4" s="330"/>
      <c r="P4" s="330"/>
      <c r="Q4" s="330"/>
      <c r="R4" s="330"/>
      <c r="S4" s="330"/>
      <c r="T4" s="330"/>
      <c r="U4" s="331"/>
      <c r="V4" s="303" t="s">
        <v>62</v>
      </c>
      <c r="W4" s="304"/>
      <c r="X4" s="304"/>
      <c r="Y4" s="304"/>
      <c r="Z4" s="304"/>
      <c r="AA4" s="304"/>
      <c r="AB4" s="304"/>
      <c r="AC4" s="304"/>
      <c r="AD4" s="304"/>
      <c r="AE4" s="305"/>
      <c r="AF4" s="18"/>
    </row>
    <row r="5" spans="1:32" ht="12.6" customHeight="1" x14ac:dyDescent="0.2">
      <c r="A5" s="18"/>
      <c r="B5" s="306" t="s">
        <v>19</v>
      </c>
      <c r="C5" s="292"/>
      <c r="D5" s="292"/>
      <c r="E5" s="292"/>
      <c r="F5" s="292" t="s">
        <v>15</v>
      </c>
      <c r="G5" s="292"/>
      <c r="H5" s="292"/>
      <c r="I5" s="292" t="s">
        <v>16</v>
      </c>
      <c r="J5" s="292"/>
      <c r="K5" s="293"/>
      <c r="L5" s="306" t="s">
        <v>19</v>
      </c>
      <c r="M5" s="292"/>
      <c r="N5" s="292"/>
      <c r="O5" s="292"/>
      <c r="P5" s="292" t="s">
        <v>15</v>
      </c>
      <c r="Q5" s="292"/>
      <c r="R5" s="292"/>
      <c r="S5" s="292" t="s">
        <v>16</v>
      </c>
      <c r="T5" s="292"/>
      <c r="U5" s="293"/>
      <c r="V5" s="306" t="s">
        <v>19</v>
      </c>
      <c r="W5" s="292"/>
      <c r="X5" s="292"/>
      <c r="Y5" s="292"/>
      <c r="Z5" s="292" t="s">
        <v>15</v>
      </c>
      <c r="AA5" s="292"/>
      <c r="AB5" s="292"/>
      <c r="AC5" s="292" t="s">
        <v>16</v>
      </c>
      <c r="AD5" s="292"/>
      <c r="AE5" s="293"/>
      <c r="AF5" s="18"/>
    </row>
    <row r="6" spans="1:32" ht="12.6" customHeight="1" thickBot="1" x14ac:dyDescent="0.25">
      <c r="A6" s="18"/>
      <c r="B6" s="290">
        <v>7.7</v>
      </c>
      <c r="C6" s="291"/>
      <c r="D6" s="286" t="s">
        <v>0</v>
      </c>
      <c r="E6" s="287"/>
      <c r="F6" s="288">
        <v>31200</v>
      </c>
      <c r="G6" s="288"/>
      <c r="H6" s="288"/>
      <c r="I6" s="288">
        <v>20800</v>
      </c>
      <c r="J6" s="288"/>
      <c r="K6" s="289"/>
      <c r="L6" s="290">
        <v>2.8</v>
      </c>
      <c r="M6" s="291"/>
      <c r="N6" s="286" t="s">
        <v>0</v>
      </c>
      <c r="O6" s="287"/>
      <c r="P6" s="288">
        <v>12200</v>
      </c>
      <c r="Q6" s="288"/>
      <c r="R6" s="288"/>
      <c r="S6" s="288">
        <v>6000</v>
      </c>
      <c r="T6" s="288"/>
      <c r="U6" s="289"/>
      <c r="V6" s="290">
        <v>2.7</v>
      </c>
      <c r="W6" s="291"/>
      <c r="X6" s="286" t="s">
        <v>0</v>
      </c>
      <c r="Y6" s="287"/>
      <c r="Z6" s="288">
        <v>11000</v>
      </c>
      <c r="AA6" s="288"/>
      <c r="AB6" s="288"/>
      <c r="AC6" s="288">
        <v>7400</v>
      </c>
      <c r="AD6" s="288"/>
      <c r="AE6" s="289"/>
      <c r="AF6" s="18"/>
    </row>
    <row r="7" spans="1:32" ht="12.6" customHeight="1" x14ac:dyDescent="0.2">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row>
    <row r="8" spans="1:32" ht="12.6" customHeight="1" thickBot="1" x14ac:dyDescent="0.25">
      <c r="A8" s="18"/>
      <c r="B8" s="18" t="s">
        <v>64</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row>
    <row r="9" spans="1:32" ht="12.6" customHeight="1" x14ac:dyDescent="0.2">
      <c r="A9" s="18"/>
      <c r="B9" s="294" t="s">
        <v>12</v>
      </c>
      <c r="C9" s="295"/>
      <c r="D9" s="295"/>
      <c r="E9" s="295"/>
      <c r="F9" s="295"/>
      <c r="G9" s="295"/>
      <c r="H9" s="295"/>
      <c r="I9" s="295"/>
      <c r="J9" s="295"/>
      <c r="K9" s="296"/>
      <c r="L9" s="329" t="s">
        <v>13</v>
      </c>
      <c r="M9" s="330"/>
      <c r="N9" s="330"/>
      <c r="O9" s="330"/>
      <c r="P9" s="330"/>
      <c r="Q9" s="330"/>
      <c r="R9" s="330"/>
      <c r="S9" s="330"/>
      <c r="T9" s="330"/>
      <c r="U9" s="331"/>
      <c r="V9" s="303" t="s">
        <v>62</v>
      </c>
      <c r="W9" s="304"/>
      <c r="X9" s="304"/>
      <c r="Y9" s="304"/>
      <c r="Z9" s="304"/>
      <c r="AA9" s="304"/>
      <c r="AB9" s="304"/>
      <c r="AC9" s="304"/>
      <c r="AD9" s="304"/>
      <c r="AE9" s="305"/>
      <c r="AF9" s="18"/>
    </row>
    <row r="10" spans="1:32" ht="12.6" customHeight="1" x14ac:dyDescent="0.2">
      <c r="A10" s="18"/>
      <c r="B10" s="306" t="s">
        <v>19</v>
      </c>
      <c r="C10" s="292"/>
      <c r="D10" s="292"/>
      <c r="E10" s="292"/>
      <c r="F10" s="292" t="s">
        <v>15</v>
      </c>
      <c r="G10" s="292"/>
      <c r="H10" s="292"/>
      <c r="I10" s="292" t="s">
        <v>16</v>
      </c>
      <c r="J10" s="292"/>
      <c r="K10" s="293"/>
      <c r="L10" s="306" t="s">
        <v>19</v>
      </c>
      <c r="M10" s="292"/>
      <c r="N10" s="292"/>
      <c r="O10" s="292"/>
      <c r="P10" s="292" t="s">
        <v>15</v>
      </c>
      <c r="Q10" s="292"/>
      <c r="R10" s="292"/>
      <c r="S10" s="292" t="s">
        <v>16</v>
      </c>
      <c r="T10" s="292"/>
      <c r="U10" s="293"/>
      <c r="V10" s="306" t="s">
        <v>19</v>
      </c>
      <c r="W10" s="292"/>
      <c r="X10" s="292"/>
      <c r="Y10" s="292"/>
      <c r="Z10" s="292" t="s">
        <v>15</v>
      </c>
      <c r="AA10" s="292"/>
      <c r="AB10" s="292"/>
      <c r="AC10" s="292" t="s">
        <v>16</v>
      </c>
      <c r="AD10" s="292"/>
      <c r="AE10" s="293"/>
      <c r="AF10" s="18"/>
    </row>
    <row r="11" spans="1:32" ht="12.6" customHeight="1" thickBot="1" x14ac:dyDescent="0.25">
      <c r="A11" s="18"/>
      <c r="B11" s="323">
        <f>B6</f>
        <v>7.7</v>
      </c>
      <c r="C11" s="324"/>
      <c r="D11" s="286" t="s">
        <v>0</v>
      </c>
      <c r="E11" s="287"/>
      <c r="F11" s="307">
        <f>F6/2</f>
        <v>15600</v>
      </c>
      <c r="G11" s="307"/>
      <c r="H11" s="307"/>
      <c r="I11" s="307">
        <f>I6/2</f>
        <v>10400</v>
      </c>
      <c r="J11" s="307"/>
      <c r="K11" s="308"/>
      <c r="L11" s="320"/>
      <c r="M11" s="321"/>
      <c r="N11" s="321"/>
      <c r="O11" s="321"/>
      <c r="P11" s="321"/>
      <c r="Q11" s="321"/>
      <c r="R11" s="321"/>
      <c r="S11" s="321"/>
      <c r="T11" s="321"/>
      <c r="U11" s="322"/>
      <c r="V11" s="323">
        <f>V6</f>
        <v>2.7</v>
      </c>
      <c r="W11" s="324"/>
      <c r="X11" s="286" t="s">
        <v>0</v>
      </c>
      <c r="Y11" s="287"/>
      <c r="Z11" s="307">
        <f>Z6/2</f>
        <v>5500</v>
      </c>
      <c r="AA11" s="307"/>
      <c r="AB11" s="307"/>
      <c r="AC11" s="307">
        <f>AC6/2</f>
        <v>3700</v>
      </c>
      <c r="AD11" s="307"/>
      <c r="AE11" s="308"/>
      <c r="AF11" s="18"/>
    </row>
    <row r="12" spans="1:32" ht="12.6" customHeight="1" x14ac:dyDescent="0.2">
      <c r="A12" s="18"/>
      <c r="B12" s="20"/>
      <c r="C12" s="20"/>
      <c r="D12" s="21"/>
      <c r="E12" s="21"/>
      <c r="F12" s="15"/>
      <c r="G12" s="15"/>
      <c r="H12" s="15"/>
      <c r="I12" s="15"/>
      <c r="J12" s="15"/>
      <c r="K12" s="15"/>
      <c r="L12" s="20"/>
      <c r="M12" s="20"/>
      <c r="N12" s="21"/>
      <c r="O12" s="21"/>
      <c r="P12" s="12"/>
      <c r="Q12" s="12"/>
      <c r="R12" s="12"/>
      <c r="S12" s="25"/>
      <c r="T12" s="25"/>
      <c r="U12" s="25"/>
      <c r="V12" s="20"/>
      <c r="W12" s="20"/>
      <c r="X12" s="21"/>
      <c r="Y12" s="21"/>
      <c r="Z12" s="15"/>
      <c r="AA12" s="15"/>
      <c r="AB12" s="15"/>
      <c r="AC12" s="15"/>
      <c r="AD12" s="15"/>
      <c r="AE12" s="15"/>
      <c r="AF12" s="18"/>
    </row>
    <row r="13" spans="1:32" ht="12.6" customHeight="1" x14ac:dyDescent="0.2">
      <c r="A13" s="18" t="s">
        <v>105</v>
      </c>
      <c r="B13" s="18"/>
      <c r="C13" s="18"/>
      <c r="D13" s="18"/>
      <c r="E13" s="18"/>
      <c r="F13" s="18"/>
      <c r="G13" s="18"/>
      <c r="H13" s="18"/>
      <c r="I13" s="18"/>
      <c r="J13" s="18"/>
      <c r="K13" s="18"/>
      <c r="L13" s="18"/>
      <c r="M13" s="18"/>
      <c r="N13" s="18"/>
      <c r="O13" s="15" t="s">
        <v>145</v>
      </c>
      <c r="P13" s="15"/>
      <c r="Q13" s="15"/>
      <c r="R13" s="15"/>
      <c r="S13" s="18"/>
    </row>
    <row r="14" spans="1:32" ht="12.6" customHeight="1" x14ac:dyDescent="0.2">
      <c r="A14" s="18"/>
      <c r="B14" s="317" t="s">
        <v>3</v>
      </c>
      <c r="C14" s="318"/>
      <c r="D14" s="318"/>
      <c r="E14" s="318"/>
      <c r="F14" s="318"/>
      <c r="G14" s="318"/>
      <c r="H14" s="318"/>
      <c r="I14" s="318"/>
      <c r="J14" s="318"/>
      <c r="K14" s="318"/>
      <c r="L14" s="318"/>
      <c r="M14" s="319"/>
      <c r="N14" s="18"/>
      <c r="O14" s="314" t="s">
        <v>3</v>
      </c>
      <c r="P14" s="314"/>
      <c r="Q14" s="314"/>
      <c r="R14" s="314"/>
      <c r="S14" s="314"/>
      <c r="T14" s="314"/>
      <c r="U14" s="35"/>
      <c r="V14" s="35"/>
      <c r="W14" s="35"/>
      <c r="X14" s="35"/>
      <c r="Y14" s="35"/>
      <c r="Z14" s="35"/>
    </row>
    <row r="15" spans="1:32" ht="12.6" customHeight="1" x14ac:dyDescent="0.2">
      <c r="A15" s="18"/>
      <c r="B15" s="299" t="s">
        <v>1</v>
      </c>
      <c r="C15" s="300"/>
      <c r="D15" s="299" t="s">
        <v>2</v>
      </c>
      <c r="E15" s="300"/>
      <c r="F15" s="299" t="s">
        <v>5</v>
      </c>
      <c r="G15" s="300"/>
      <c r="H15" s="299" t="s">
        <v>6</v>
      </c>
      <c r="I15" s="300"/>
      <c r="J15" s="299" t="s">
        <v>7</v>
      </c>
      <c r="K15" s="300"/>
      <c r="L15" s="299" t="s">
        <v>8</v>
      </c>
      <c r="M15" s="300"/>
      <c r="N15" s="18"/>
      <c r="O15" s="315" t="s">
        <v>2</v>
      </c>
      <c r="P15" s="316"/>
      <c r="Q15" s="315" t="s">
        <v>6</v>
      </c>
      <c r="R15" s="316"/>
      <c r="S15" s="315" t="s">
        <v>8</v>
      </c>
      <c r="T15" s="316"/>
    </row>
    <row r="16" spans="1:32" ht="12.6" customHeight="1" x14ac:dyDescent="0.2">
      <c r="A16" s="18"/>
      <c r="B16" s="312">
        <v>-21840</v>
      </c>
      <c r="C16" s="313"/>
      <c r="D16" s="312">
        <v>-14560</v>
      </c>
      <c r="E16" s="313"/>
      <c r="F16" s="312">
        <v>-15600</v>
      </c>
      <c r="G16" s="313"/>
      <c r="H16" s="312">
        <v>-10400</v>
      </c>
      <c r="I16" s="313"/>
      <c r="J16" s="312">
        <v>-6240</v>
      </c>
      <c r="K16" s="313"/>
      <c r="L16" s="312">
        <v>-4160</v>
      </c>
      <c r="M16" s="313"/>
      <c r="N16" s="18"/>
      <c r="O16" s="312">
        <v>-7280</v>
      </c>
      <c r="P16" s="313"/>
      <c r="Q16" s="312">
        <v>-5200</v>
      </c>
      <c r="R16" s="313"/>
      <c r="S16" s="312">
        <v>-2080</v>
      </c>
      <c r="T16" s="313"/>
    </row>
    <row r="17" spans="1:26" ht="12.6" customHeight="1" x14ac:dyDescent="0.2">
      <c r="A17" s="18"/>
      <c r="B17" s="22"/>
      <c r="C17" s="22"/>
      <c r="D17" s="22"/>
      <c r="E17" s="22"/>
      <c r="F17" s="22"/>
      <c r="G17" s="22"/>
      <c r="H17" s="22"/>
      <c r="I17" s="22"/>
      <c r="J17" s="22"/>
      <c r="K17" s="22"/>
      <c r="L17" s="22"/>
      <c r="M17" s="22"/>
      <c r="N17" s="18"/>
    </row>
    <row r="18" spans="1:26" ht="12.6" customHeight="1" x14ac:dyDescent="0.2">
      <c r="A18" s="18"/>
      <c r="B18" s="297" t="s">
        <v>4</v>
      </c>
      <c r="C18" s="360"/>
      <c r="D18" s="360"/>
      <c r="E18" s="360"/>
      <c r="F18" s="360"/>
      <c r="G18" s="360"/>
      <c r="H18" s="360"/>
      <c r="I18" s="360"/>
      <c r="J18" s="360"/>
      <c r="K18" s="360"/>
      <c r="L18" s="360"/>
      <c r="M18" s="298"/>
      <c r="N18" s="18"/>
    </row>
    <row r="19" spans="1:26" ht="12.6" customHeight="1" x14ac:dyDescent="0.2">
      <c r="A19" s="18"/>
      <c r="B19" s="297" t="s">
        <v>1</v>
      </c>
      <c r="C19" s="298"/>
      <c r="D19" s="297" t="s">
        <v>2</v>
      </c>
      <c r="E19" s="298"/>
      <c r="F19" s="297" t="s">
        <v>5</v>
      </c>
      <c r="G19" s="298"/>
      <c r="H19" s="297" t="s">
        <v>6</v>
      </c>
      <c r="I19" s="298"/>
      <c r="J19" s="297" t="s">
        <v>7</v>
      </c>
      <c r="K19" s="298"/>
      <c r="L19" s="297" t="s">
        <v>8</v>
      </c>
      <c r="M19" s="298"/>
      <c r="N19" s="18"/>
    </row>
    <row r="20" spans="1:26" ht="12.6" customHeight="1" x14ac:dyDescent="0.2">
      <c r="A20" s="18"/>
      <c r="B20" s="310">
        <v>-8540</v>
      </c>
      <c r="C20" s="311"/>
      <c r="D20" s="310">
        <v>-4200</v>
      </c>
      <c r="E20" s="311"/>
      <c r="F20" s="310">
        <v>-6100</v>
      </c>
      <c r="G20" s="311"/>
      <c r="H20" s="310">
        <v>-3000</v>
      </c>
      <c r="I20" s="311"/>
      <c r="J20" s="310">
        <v>-2440</v>
      </c>
      <c r="K20" s="311"/>
      <c r="L20" s="310">
        <v>-1200</v>
      </c>
      <c r="M20" s="311"/>
      <c r="N20" s="18"/>
    </row>
    <row r="21" spans="1:26" ht="12.6" customHeight="1" x14ac:dyDescent="0.2">
      <c r="A21" s="18"/>
      <c r="B21" s="23"/>
      <c r="C21" s="23"/>
      <c r="D21" s="23"/>
      <c r="E21" s="23"/>
      <c r="F21" s="23"/>
      <c r="G21" s="23"/>
      <c r="H21" s="23"/>
      <c r="I21" s="23"/>
      <c r="J21" s="23"/>
      <c r="K21" s="23"/>
      <c r="L21" s="23"/>
      <c r="M21" s="23"/>
      <c r="N21" s="18"/>
      <c r="O21" s="23"/>
      <c r="P21" s="23"/>
      <c r="Q21" s="23"/>
      <c r="R21" s="23"/>
      <c r="S21" s="23"/>
      <c r="T21" s="23"/>
      <c r="U21" s="23"/>
      <c r="V21" s="23"/>
      <c r="W21" s="23"/>
      <c r="X21" s="23"/>
    </row>
    <row r="22" spans="1:26" ht="12.6" customHeight="1" x14ac:dyDescent="0.2">
      <c r="B22" s="301" t="s">
        <v>198</v>
      </c>
      <c r="C22" s="302"/>
      <c r="D22" s="302"/>
      <c r="E22" s="302"/>
      <c r="F22" s="302"/>
      <c r="G22" s="302"/>
      <c r="H22" s="302"/>
      <c r="I22" s="302"/>
      <c r="J22" s="302"/>
      <c r="K22" s="302"/>
      <c r="L22" s="302"/>
      <c r="M22" s="300"/>
      <c r="O22" s="309" t="s">
        <v>62</v>
      </c>
      <c r="P22" s="309"/>
      <c r="Q22" s="309"/>
      <c r="R22" s="309"/>
      <c r="S22" s="309"/>
      <c r="T22" s="309"/>
      <c r="U22" s="36"/>
      <c r="V22" s="36"/>
      <c r="W22" s="36"/>
      <c r="X22" s="36"/>
      <c r="Y22" s="36"/>
      <c r="Z22" s="36"/>
    </row>
    <row r="23" spans="1:26" ht="12.6" customHeight="1" x14ac:dyDescent="0.2">
      <c r="B23" s="299" t="s">
        <v>1</v>
      </c>
      <c r="C23" s="300"/>
      <c r="D23" s="299" t="s">
        <v>2</v>
      </c>
      <c r="E23" s="300"/>
      <c r="F23" s="297" t="s">
        <v>5</v>
      </c>
      <c r="G23" s="298"/>
      <c r="H23" s="297" t="s">
        <v>6</v>
      </c>
      <c r="I23" s="298"/>
      <c r="J23" s="297" t="s">
        <v>7</v>
      </c>
      <c r="K23" s="298"/>
      <c r="L23" s="297" t="s">
        <v>8</v>
      </c>
      <c r="M23" s="298"/>
      <c r="O23" s="315" t="s">
        <v>2</v>
      </c>
      <c r="P23" s="316"/>
      <c r="Q23" s="358" t="s">
        <v>6</v>
      </c>
      <c r="R23" s="359"/>
      <c r="S23" s="358" t="s">
        <v>8</v>
      </c>
      <c r="T23" s="359"/>
    </row>
    <row r="24" spans="1:26" ht="12.6" customHeight="1" x14ac:dyDescent="0.2">
      <c r="B24" s="326">
        <v>-7700</v>
      </c>
      <c r="C24" s="327"/>
      <c r="D24" s="312">
        <v>-5180</v>
      </c>
      <c r="E24" s="313"/>
      <c r="F24" s="310">
        <v>-5500</v>
      </c>
      <c r="G24" s="311"/>
      <c r="H24" s="310">
        <v>-3700</v>
      </c>
      <c r="I24" s="311"/>
      <c r="J24" s="310">
        <v>-2200</v>
      </c>
      <c r="K24" s="311"/>
      <c r="L24" s="310">
        <v>-1480</v>
      </c>
      <c r="M24" s="311"/>
      <c r="O24" s="312">
        <v>-2590</v>
      </c>
      <c r="P24" s="313"/>
      <c r="Q24" s="310">
        <v>-1850</v>
      </c>
      <c r="R24" s="311"/>
      <c r="S24" s="310">
        <v>-740</v>
      </c>
      <c r="T24" s="311"/>
    </row>
    <row r="25" spans="1:26" ht="12.6" customHeight="1" x14ac:dyDescent="0.2">
      <c r="O25" s="15"/>
      <c r="P25" s="15"/>
      <c r="Q25" s="15"/>
      <c r="R25" s="15"/>
      <c r="S25" s="14"/>
    </row>
    <row r="26" spans="1:26" ht="12.6" customHeight="1" x14ac:dyDescent="0.2">
      <c r="O26" s="15"/>
      <c r="P26" s="15"/>
      <c r="Q26" s="15"/>
      <c r="R26" s="18"/>
      <c r="S26" s="15"/>
    </row>
    <row r="27" spans="1:26" ht="12.6" customHeight="1" x14ac:dyDescent="0.2">
      <c r="A27" s="2" t="s">
        <v>106</v>
      </c>
      <c r="B27" s="2"/>
      <c r="C27" s="2"/>
      <c r="D27" s="18"/>
      <c r="E27" s="18"/>
      <c r="F27" s="18"/>
      <c r="G27" s="18"/>
      <c r="H27" s="18"/>
      <c r="I27" s="18"/>
      <c r="J27" s="18"/>
      <c r="K27" s="18"/>
      <c r="L27" s="18"/>
      <c r="M27" s="18"/>
      <c r="N27" s="18"/>
    </row>
    <row r="28" spans="1:26" ht="12.6" customHeight="1" x14ac:dyDescent="0.2">
      <c r="B28" s="340" t="s">
        <v>9</v>
      </c>
      <c r="C28" s="340"/>
      <c r="D28" s="340"/>
      <c r="E28" s="344">
        <v>430000</v>
      </c>
      <c r="F28" s="344"/>
      <c r="G28" s="344"/>
      <c r="H28" s="344"/>
      <c r="I28" s="18"/>
      <c r="J28" s="362" t="s">
        <v>22</v>
      </c>
      <c r="K28" s="362"/>
      <c r="L28" s="362"/>
      <c r="M28" s="362"/>
      <c r="N28" s="361">
        <v>150000</v>
      </c>
      <c r="O28" s="361"/>
      <c r="P28" s="361"/>
      <c r="Q28" s="18"/>
      <c r="R28" s="340" t="s">
        <v>9</v>
      </c>
      <c r="S28" s="340"/>
      <c r="T28" s="340"/>
      <c r="U28" s="337">
        <f>430000+試算表!CY48</f>
        <v>430000</v>
      </c>
      <c r="V28" s="338"/>
      <c r="W28" s="338"/>
      <c r="X28" s="338"/>
    </row>
    <row r="29" spans="1:26" ht="12.6" customHeight="1" x14ac:dyDescent="0.2">
      <c r="B29" s="341" t="s">
        <v>10</v>
      </c>
      <c r="C29" s="341"/>
      <c r="D29" s="341"/>
      <c r="E29" s="345">
        <v>295000</v>
      </c>
      <c r="F29" s="345"/>
      <c r="G29" s="345"/>
      <c r="H29" s="345"/>
      <c r="I29" s="18"/>
      <c r="J29" s="362"/>
      <c r="K29" s="362"/>
      <c r="L29" s="362"/>
      <c r="M29" s="362"/>
      <c r="N29" s="361"/>
      <c r="O29" s="361"/>
      <c r="P29" s="361"/>
      <c r="Q29" s="18"/>
      <c r="R29" s="341" t="s">
        <v>10</v>
      </c>
      <c r="S29" s="341"/>
      <c r="T29" s="341"/>
      <c r="U29" s="339">
        <f>(試算表!CQ2)*E29+430000+試算表!CY48</f>
        <v>430000</v>
      </c>
      <c r="V29" s="339"/>
      <c r="W29" s="339"/>
      <c r="X29" s="339"/>
    </row>
    <row r="30" spans="1:26" ht="12.6" customHeight="1" x14ac:dyDescent="0.2">
      <c r="B30" s="325" t="s">
        <v>11</v>
      </c>
      <c r="C30" s="325"/>
      <c r="D30" s="325"/>
      <c r="E30" s="345">
        <v>545000</v>
      </c>
      <c r="F30" s="345"/>
      <c r="G30" s="345"/>
      <c r="H30" s="345"/>
      <c r="I30" s="18"/>
      <c r="J30" s="18"/>
      <c r="K30" s="18"/>
      <c r="L30" s="18"/>
      <c r="M30" s="18"/>
      <c r="N30" s="18"/>
      <c r="O30" s="18"/>
      <c r="P30" s="18"/>
      <c r="Q30" s="18"/>
      <c r="R30" s="325" t="s">
        <v>11</v>
      </c>
      <c r="S30" s="325"/>
      <c r="T30" s="325"/>
      <c r="U30" s="339">
        <f>試算表!CQ2*E30+430000+試算表!CY48</f>
        <v>430000</v>
      </c>
      <c r="V30" s="339"/>
      <c r="W30" s="339"/>
      <c r="X30" s="339"/>
    </row>
    <row r="31" spans="1:26" ht="12.6" customHeight="1" x14ac:dyDescent="0.2">
      <c r="B31" s="18"/>
      <c r="C31" s="18"/>
      <c r="D31" s="18"/>
      <c r="E31" s="18"/>
      <c r="F31" s="18"/>
      <c r="G31" s="18"/>
      <c r="H31" s="18"/>
      <c r="I31" s="18"/>
      <c r="J31" s="346" t="s">
        <v>148</v>
      </c>
      <c r="K31" s="347"/>
      <c r="L31" s="347"/>
      <c r="M31" s="348"/>
      <c r="N31" s="352">
        <v>180000</v>
      </c>
      <c r="O31" s="353"/>
      <c r="P31" s="354"/>
      <c r="Q31" s="18"/>
    </row>
    <row r="32" spans="1:26" ht="12.6" customHeight="1" x14ac:dyDescent="0.2">
      <c r="B32" s="342" t="s">
        <v>23</v>
      </c>
      <c r="C32" s="342"/>
      <c r="D32" s="342"/>
      <c r="E32" s="343">
        <v>430000</v>
      </c>
      <c r="F32" s="343"/>
      <c r="G32" s="343"/>
      <c r="H32" s="343"/>
      <c r="I32" s="18"/>
      <c r="J32" s="349"/>
      <c r="K32" s="350"/>
      <c r="L32" s="350"/>
      <c r="M32" s="351"/>
      <c r="N32" s="355"/>
      <c r="O32" s="356"/>
      <c r="P32" s="357"/>
      <c r="Q32" s="18"/>
    </row>
    <row r="33" spans="2:84" ht="12.6" customHeight="1" x14ac:dyDescent="0.2">
      <c r="B33" s="18"/>
      <c r="C33" s="18"/>
      <c r="D33" s="18"/>
      <c r="E33" s="18"/>
      <c r="F33" s="18"/>
      <c r="G33" s="18"/>
      <c r="H33" s="18"/>
      <c r="I33" s="18"/>
      <c r="J33" s="18"/>
      <c r="K33" s="18"/>
      <c r="L33" s="18"/>
      <c r="M33" s="18"/>
      <c r="N33" s="18"/>
      <c r="O33" s="18"/>
      <c r="P33" s="18"/>
      <c r="Q33" s="18"/>
      <c r="BW33" s="137"/>
      <c r="BX33" s="137"/>
      <c r="BY33" s="137"/>
      <c r="BZ33" s="137"/>
      <c r="CA33" s="137"/>
      <c r="CB33" s="137"/>
      <c r="CC33" s="137"/>
      <c r="CD33" s="137"/>
      <c r="CE33" s="137"/>
      <c r="CF33" s="137"/>
    </row>
    <row r="34" spans="2:84" ht="12.6" customHeight="1" x14ac:dyDescent="0.2">
      <c r="B34" s="1" t="s">
        <v>24</v>
      </c>
      <c r="C34" s="1"/>
      <c r="D34" s="18"/>
      <c r="E34" s="18"/>
      <c r="F34" s="18"/>
      <c r="G34" s="18"/>
      <c r="H34" s="18"/>
      <c r="I34" s="18"/>
      <c r="J34" s="18"/>
      <c r="K34" s="18"/>
      <c r="L34" s="18"/>
      <c r="M34" s="18"/>
      <c r="N34" s="18"/>
      <c r="O34" s="18"/>
      <c r="P34" s="18"/>
      <c r="Q34" s="18"/>
    </row>
    <row r="35" spans="2:84" ht="12.6" customHeight="1" x14ac:dyDescent="0.2">
      <c r="B35" s="336" t="s">
        <v>12</v>
      </c>
      <c r="C35" s="336"/>
      <c r="D35" s="336"/>
      <c r="E35" s="335">
        <v>650000</v>
      </c>
      <c r="F35" s="335"/>
      <c r="G35" s="335"/>
      <c r="H35" s="335"/>
      <c r="I35" s="18"/>
      <c r="J35" s="18"/>
      <c r="K35" s="18"/>
      <c r="L35" s="18"/>
      <c r="M35" s="18"/>
      <c r="N35" s="18"/>
      <c r="O35" s="18"/>
      <c r="P35" s="18"/>
    </row>
    <row r="36" spans="2:84" ht="12.6" customHeight="1" x14ac:dyDescent="0.2">
      <c r="B36" s="336" t="s">
        <v>25</v>
      </c>
      <c r="C36" s="336"/>
      <c r="D36" s="336"/>
      <c r="E36" s="335">
        <v>170000</v>
      </c>
      <c r="F36" s="335"/>
      <c r="G36" s="335"/>
      <c r="H36" s="335"/>
    </row>
    <row r="37" spans="2:84" ht="12.6" customHeight="1" x14ac:dyDescent="0.2">
      <c r="B37" s="332" t="s">
        <v>62</v>
      </c>
      <c r="C37" s="333"/>
      <c r="D37" s="334"/>
      <c r="E37" s="335">
        <v>240000</v>
      </c>
      <c r="F37" s="335"/>
      <c r="G37" s="335"/>
      <c r="H37" s="335"/>
    </row>
  </sheetData>
  <sheetProtection selectLockedCells="1"/>
  <mergeCells count="123">
    <mergeCell ref="J31:M32"/>
    <mergeCell ref="N31:P32"/>
    <mergeCell ref="F24:G24"/>
    <mergeCell ref="J24:K24"/>
    <mergeCell ref="Q23:R23"/>
    <mergeCell ref="S23:T23"/>
    <mergeCell ref="H15:I15"/>
    <mergeCell ref="B18:M18"/>
    <mergeCell ref="B19:C19"/>
    <mergeCell ref="D19:E19"/>
    <mergeCell ref="D20:E20"/>
    <mergeCell ref="L23:M23"/>
    <mergeCell ref="F16:G16"/>
    <mergeCell ref="F20:G20"/>
    <mergeCell ref="S24:T24"/>
    <mergeCell ref="Q24:R24"/>
    <mergeCell ref="N28:P29"/>
    <mergeCell ref="J28:M29"/>
    <mergeCell ref="O24:P24"/>
    <mergeCell ref="L24:M24"/>
    <mergeCell ref="Q16:R16"/>
    <mergeCell ref="O16:P16"/>
    <mergeCell ref="J16:K16"/>
    <mergeCell ref="L16:M16"/>
    <mergeCell ref="L9:U9"/>
    <mergeCell ref="L10:O10"/>
    <mergeCell ref="P10:R10"/>
    <mergeCell ref="S10:U10"/>
    <mergeCell ref="X11:Y11"/>
    <mergeCell ref="B37:D37"/>
    <mergeCell ref="E37:H37"/>
    <mergeCell ref="B36:D36"/>
    <mergeCell ref="E35:H35"/>
    <mergeCell ref="E36:H36"/>
    <mergeCell ref="U28:X28"/>
    <mergeCell ref="U29:X29"/>
    <mergeCell ref="R28:T28"/>
    <mergeCell ref="R29:T29"/>
    <mergeCell ref="B32:D32"/>
    <mergeCell ref="E32:H32"/>
    <mergeCell ref="B35:D35"/>
    <mergeCell ref="U30:X30"/>
    <mergeCell ref="B28:D28"/>
    <mergeCell ref="E28:H28"/>
    <mergeCell ref="B29:D29"/>
    <mergeCell ref="E29:H29"/>
    <mergeCell ref="B30:D30"/>
    <mergeCell ref="E30:H30"/>
    <mergeCell ref="B1:AE1"/>
    <mergeCell ref="V5:Y5"/>
    <mergeCell ref="Z5:AB5"/>
    <mergeCell ref="AC5:AE5"/>
    <mergeCell ref="B5:E5"/>
    <mergeCell ref="F5:H5"/>
    <mergeCell ref="I5:K5"/>
    <mergeCell ref="L5:O5"/>
    <mergeCell ref="P5:R5"/>
    <mergeCell ref="S5:U5"/>
    <mergeCell ref="V4:AE4"/>
    <mergeCell ref="B4:K4"/>
    <mergeCell ref="L4:U4"/>
    <mergeCell ref="R30:T30"/>
    <mergeCell ref="B24:C24"/>
    <mergeCell ref="H24:I24"/>
    <mergeCell ref="H23:I23"/>
    <mergeCell ref="O23:P23"/>
    <mergeCell ref="B23:C23"/>
    <mergeCell ref="S16:T16"/>
    <mergeCell ref="F19:G19"/>
    <mergeCell ref="B20:C20"/>
    <mergeCell ref="B16:C16"/>
    <mergeCell ref="D16:E16"/>
    <mergeCell ref="H20:I20"/>
    <mergeCell ref="H16:I16"/>
    <mergeCell ref="L20:M20"/>
    <mergeCell ref="Z10:AB10"/>
    <mergeCell ref="B10:E10"/>
    <mergeCell ref="AC11:AE11"/>
    <mergeCell ref="O22:T22"/>
    <mergeCell ref="J19:K19"/>
    <mergeCell ref="L19:M19"/>
    <mergeCell ref="J20:K20"/>
    <mergeCell ref="Z11:AB11"/>
    <mergeCell ref="D24:E24"/>
    <mergeCell ref="O14:T14"/>
    <mergeCell ref="S15:T15"/>
    <mergeCell ref="O15:P15"/>
    <mergeCell ref="B14:M14"/>
    <mergeCell ref="Q15:R15"/>
    <mergeCell ref="B15:C15"/>
    <mergeCell ref="D15:E15"/>
    <mergeCell ref="V10:Y10"/>
    <mergeCell ref="L11:U11"/>
    <mergeCell ref="F11:H11"/>
    <mergeCell ref="V11:W11"/>
    <mergeCell ref="I11:K11"/>
    <mergeCell ref="B11:C11"/>
    <mergeCell ref="D11:E11"/>
    <mergeCell ref="F10:H10"/>
    <mergeCell ref="D6:E6"/>
    <mergeCell ref="I6:K6"/>
    <mergeCell ref="L6:M6"/>
    <mergeCell ref="N6:O6"/>
    <mergeCell ref="F6:H6"/>
    <mergeCell ref="I10:K10"/>
    <mergeCell ref="B9:K9"/>
    <mergeCell ref="AC6:AE6"/>
    <mergeCell ref="F23:G23"/>
    <mergeCell ref="J23:K23"/>
    <mergeCell ref="D23:E23"/>
    <mergeCell ref="B22:M22"/>
    <mergeCell ref="H19:I19"/>
    <mergeCell ref="Z6:AB6"/>
    <mergeCell ref="F15:G15"/>
    <mergeCell ref="V6:W6"/>
    <mergeCell ref="X6:Y6"/>
    <mergeCell ref="P6:R6"/>
    <mergeCell ref="S6:U6"/>
    <mergeCell ref="J15:K15"/>
    <mergeCell ref="V9:AE9"/>
    <mergeCell ref="AC10:AE10"/>
    <mergeCell ref="L15:M15"/>
    <mergeCell ref="B6:C6"/>
  </mergeCells>
  <phoneticPr fontId="2"/>
  <dataValidations count="1">
    <dataValidation imeMode="off" allowBlank="1" showInputMessage="1" showErrorMessage="1" sqref="B6:C6 F6:M6 P6:W6 Z6:AE6 B16:M16 O16:T16 B20:M20 B24:M24 O24:T24 N28:P29 N31:P32 E32:H32 E35:H37" xr:uid="{00000000-0002-0000-0000-000000000000}"/>
  </dataValidations>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DT70"/>
  <sheetViews>
    <sheetView topLeftCell="A22" zoomScaleNormal="100" zoomScaleSheetLayoutView="100" workbookViewId="0">
      <selection activeCell="DQ41" sqref="DQ41"/>
    </sheetView>
  </sheetViews>
  <sheetFormatPr defaultColWidth="3.33203125" defaultRowHeight="17.399999999999999" x14ac:dyDescent="0.2"/>
  <cols>
    <col min="1" max="1" width="4.21875" customWidth="1"/>
    <col min="2" max="3" width="2.77734375" customWidth="1"/>
    <col min="4" max="4" width="2.6640625" customWidth="1"/>
    <col min="5" max="32" width="2.77734375" customWidth="1"/>
    <col min="33" max="33" width="5" customWidth="1"/>
    <col min="34" max="34" width="5.6640625" customWidth="1"/>
    <col min="35" max="36" width="2.77734375" customWidth="1"/>
    <col min="37" max="37" width="2.6640625" customWidth="1"/>
    <col min="38" max="65" width="2.77734375" customWidth="1"/>
    <col min="66" max="66" width="5.6640625" customWidth="1"/>
    <col min="67" max="67" width="2.44140625" customWidth="1"/>
    <col min="68" max="78" width="3.33203125" customWidth="1"/>
    <col min="79" max="79" width="3.33203125" style="18" customWidth="1"/>
    <col min="80" max="82" width="3.33203125" customWidth="1"/>
    <col min="84" max="105" width="2.77734375" style="140" customWidth="1"/>
    <col min="106" max="113" width="2.88671875" style="140" customWidth="1"/>
    <col min="114" max="114" width="2.77734375" style="140" customWidth="1"/>
    <col min="115" max="124" width="2.88671875" style="140" customWidth="1"/>
  </cols>
  <sheetData>
    <row r="1" spans="1:124" ht="27.75" customHeight="1" thickBot="1" x14ac:dyDescent="0.25">
      <c r="A1" s="438" t="s">
        <v>243</v>
      </c>
      <c r="B1" s="438"/>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CF1" s="502"/>
      <c r="CG1" s="502"/>
      <c r="CH1" s="502"/>
      <c r="CI1" s="502"/>
      <c r="CJ1" s="502"/>
      <c r="CK1" s="502"/>
      <c r="CL1" s="502"/>
      <c r="CM1" s="502"/>
      <c r="CN1" s="502"/>
      <c r="CO1" s="502"/>
      <c r="CP1" s="502"/>
      <c r="CQ1" s="502"/>
      <c r="CR1" s="502"/>
      <c r="CS1" s="502"/>
      <c r="CT1" s="502"/>
      <c r="CU1" s="502"/>
      <c r="CV1" s="502"/>
      <c r="CW1" s="502"/>
      <c r="CX1" s="502"/>
      <c r="CY1" s="502"/>
      <c r="CZ1" s="502"/>
      <c r="DA1" s="502"/>
      <c r="DB1" s="502"/>
      <c r="DC1" s="502"/>
      <c r="DD1" s="502"/>
      <c r="DE1" s="502"/>
      <c r="DF1" s="502"/>
      <c r="DG1" s="502"/>
      <c r="DH1" s="502"/>
      <c r="DI1" s="502"/>
      <c r="DJ1" s="502"/>
      <c r="DK1" s="502"/>
      <c r="DL1" s="502"/>
      <c r="DM1" s="502"/>
    </row>
    <row r="2" spans="1:124" ht="10.5" customHeight="1" thickBot="1" x14ac:dyDescent="0.25">
      <c r="A2" s="2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CG2" s="537" t="s">
        <v>14</v>
      </c>
      <c r="CH2" s="538"/>
      <c r="CI2" s="538"/>
      <c r="CJ2" s="538"/>
      <c r="CK2" s="515" t="s">
        <v>65</v>
      </c>
      <c r="CL2" s="516"/>
      <c r="CM2" s="516"/>
      <c r="CN2" s="516"/>
      <c r="CO2" s="516"/>
      <c r="CP2" s="517"/>
      <c r="CQ2" s="521">
        <f>COUNTIF(CJ34:CJ39,1)</f>
        <v>0</v>
      </c>
      <c r="CR2" s="522"/>
      <c r="DD2" s="506" t="str">
        <f>IF(CL61&lt;=CV51,"７割軽減",IF(CL61&lt;=CV52,"５割軽減",IF(CL61&lt;=CV53,"２割軽減","")))</f>
        <v>７割軽減</v>
      </c>
      <c r="DE2" s="507"/>
      <c r="DF2" s="507"/>
      <c r="DG2" s="507"/>
      <c r="DH2" s="508"/>
    </row>
    <row r="3" spans="1:124" ht="18" thickBot="1" x14ac:dyDescent="0.25">
      <c r="A3" s="84"/>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7"/>
      <c r="BP3" s="18"/>
      <c r="BQ3" s="18"/>
      <c r="CG3" s="539"/>
      <c r="CH3" s="540"/>
      <c r="CI3" s="540"/>
      <c r="CJ3" s="540"/>
      <c r="CK3" s="518"/>
      <c r="CL3" s="519"/>
      <c r="CM3" s="519"/>
      <c r="CN3" s="519"/>
      <c r="CO3" s="519"/>
      <c r="CP3" s="520"/>
      <c r="CQ3" s="523"/>
      <c r="CR3" s="524"/>
      <c r="DD3" s="509"/>
      <c r="DE3" s="510"/>
      <c r="DF3" s="510"/>
      <c r="DG3" s="510"/>
      <c r="DH3" s="511"/>
    </row>
    <row r="4" spans="1:124" ht="13.5" customHeight="1" thickBot="1" x14ac:dyDescent="0.25">
      <c r="A4" s="88"/>
      <c r="B4" s="23"/>
      <c r="C4" s="23"/>
      <c r="D4" s="23"/>
      <c r="E4" s="23"/>
      <c r="F4" s="23"/>
      <c r="G4" s="23"/>
      <c r="H4" s="23"/>
      <c r="I4" s="23"/>
      <c r="J4" s="23"/>
      <c r="K4" s="23"/>
      <c r="L4" s="23"/>
      <c r="M4" s="23"/>
      <c r="N4" s="23"/>
      <c r="O4" s="23"/>
      <c r="P4" s="23"/>
      <c r="Q4" s="23"/>
      <c r="R4" s="23"/>
      <c r="S4" s="23"/>
      <c r="T4" s="23"/>
      <c r="U4" s="23"/>
      <c r="V4" s="23"/>
      <c r="W4" s="23"/>
      <c r="X4" s="23"/>
      <c r="Y4" s="23"/>
      <c r="Z4" s="23"/>
      <c r="AA4" s="23"/>
      <c r="AB4" s="432" t="str">
        <f>試算表!DD2</f>
        <v>７割軽減</v>
      </c>
      <c r="AC4" s="433"/>
      <c r="AD4" s="433"/>
      <c r="AE4" s="433"/>
      <c r="AF4" s="434"/>
      <c r="AG4" s="23"/>
      <c r="AH4" s="23"/>
      <c r="AI4" s="115"/>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89"/>
      <c r="BO4" s="23"/>
      <c r="BP4" s="23"/>
      <c r="BQ4" s="18"/>
      <c r="CG4" s="539"/>
      <c r="CH4" s="540"/>
      <c r="CI4" s="540"/>
      <c r="CJ4" s="540"/>
      <c r="CK4" s="543" t="s">
        <v>127</v>
      </c>
      <c r="CL4" s="544"/>
      <c r="CM4" s="544"/>
      <c r="CN4" s="544"/>
      <c r="CO4" s="544"/>
      <c r="CP4" s="545"/>
      <c r="CQ4" s="549">
        <f>COUNTIF(CK34:CK39,1)</f>
        <v>0</v>
      </c>
      <c r="CR4" s="550"/>
      <c r="DD4" s="512"/>
      <c r="DE4" s="513"/>
      <c r="DF4" s="513"/>
      <c r="DG4" s="513"/>
      <c r="DH4" s="514"/>
    </row>
    <row r="5" spans="1:124" ht="13.5" customHeight="1" thickBot="1" x14ac:dyDescent="0.25">
      <c r="A5" s="88"/>
      <c r="B5" s="420" t="s">
        <v>14</v>
      </c>
      <c r="C5" s="420"/>
      <c r="D5" s="420"/>
      <c r="E5" s="420"/>
      <c r="F5" s="414" t="s">
        <v>65</v>
      </c>
      <c r="G5" s="415"/>
      <c r="H5" s="415"/>
      <c r="I5" s="415"/>
      <c r="J5" s="415"/>
      <c r="K5" s="423"/>
      <c r="L5" s="421">
        <f>試算表!CQ2</f>
        <v>0</v>
      </c>
      <c r="M5" s="422"/>
      <c r="N5" s="39" t="s">
        <v>113</v>
      </c>
      <c r="O5" s="40"/>
      <c r="P5" s="41"/>
      <c r="Q5" s="23"/>
      <c r="R5" s="23"/>
      <c r="S5" s="23"/>
      <c r="T5" s="23"/>
      <c r="U5" s="23"/>
      <c r="V5" s="23"/>
      <c r="W5" s="23"/>
      <c r="X5" s="23"/>
      <c r="Y5" s="42"/>
      <c r="Z5" s="42"/>
      <c r="AA5" s="43"/>
      <c r="AB5" s="435"/>
      <c r="AC5" s="436"/>
      <c r="AD5" s="436"/>
      <c r="AE5" s="436"/>
      <c r="AF5" s="437"/>
      <c r="AG5" s="23"/>
      <c r="AH5" s="23"/>
      <c r="AI5" s="106"/>
      <c r="AJ5" s="113" t="str">
        <f>IF(SUM(試算表!CL34:CL39)&gt;=1,IF(SUM(試算表!CM34:CM39)&gt;=1,"元国保と元社保がいます。この場合は、非加入者にしてください。",""),"")</f>
        <v/>
      </c>
      <c r="AK5" s="114"/>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50"/>
      <c r="BN5" s="89"/>
      <c r="BO5" s="23"/>
      <c r="BP5" s="23"/>
      <c r="BQ5" s="18"/>
      <c r="BV5" s="129"/>
      <c r="BZ5" s="129"/>
      <c r="CA5" s="19"/>
      <c r="CG5" s="541"/>
      <c r="CH5" s="542"/>
      <c r="CI5" s="542"/>
      <c r="CJ5" s="542"/>
      <c r="CK5" s="546"/>
      <c r="CL5" s="547"/>
      <c r="CM5" s="547"/>
      <c r="CN5" s="547"/>
      <c r="CO5" s="547"/>
      <c r="CP5" s="548"/>
      <c r="CQ5" s="551"/>
      <c r="CR5" s="552"/>
      <c r="DD5" s="146"/>
      <c r="DE5" s="146"/>
      <c r="DF5" s="146"/>
      <c r="DG5" s="146"/>
      <c r="DH5" s="146"/>
    </row>
    <row r="6" spans="1:124" s="4" customFormat="1" ht="13.5" customHeight="1" thickBot="1" x14ac:dyDescent="0.25">
      <c r="A6" s="88"/>
      <c r="B6" s="420"/>
      <c r="C6" s="420"/>
      <c r="D6" s="420"/>
      <c r="E6" s="420"/>
      <c r="F6" s="414" t="s">
        <v>112</v>
      </c>
      <c r="G6" s="415"/>
      <c r="H6" s="415"/>
      <c r="I6" s="415"/>
      <c r="J6" s="415"/>
      <c r="K6" s="423"/>
      <c r="L6" s="424">
        <f>試算表!CQ4</f>
        <v>0</v>
      </c>
      <c r="M6" s="425"/>
      <c r="N6" s="44" t="s">
        <v>113</v>
      </c>
      <c r="O6" s="45" t="s">
        <v>114</v>
      </c>
      <c r="P6" s="41"/>
      <c r="Q6" s="23"/>
      <c r="R6" s="23"/>
      <c r="S6" s="23"/>
      <c r="T6" s="23"/>
      <c r="U6" s="23"/>
      <c r="V6" s="23"/>
      <c r="W6" s="23"/>
      <c r="X6" s="23"/>
      <c r="Y6" s="42"/>
      <c r="Z6" s="42"/>
      <c r="AA6" s="43"/>
      <c r="AB6" s="426" t="str">
        <f>IF(AB4="",試算表!DH65,IF(AB4="２割軽減",試算表!DH65,IF(試算表!DH65="平等割半額",試算表!DH65,"軽減優先")))</f>
        <v>軽減優先</v>
      </c>
      <c r="AC6" s="427"/>
      <c r="AD6" s="427"/>
      <c r="AE6" s="427"/>
      <c r="AF6" s="428"/>
      <c r="AG6" s="23"/>
      <c r="AH6" s="23"/>
      <c r="AI6" s="107"/>
      <c r="AJ6" s="40" t="str">
        <f>IF(SUM(試算表!CN34:CN39)&gt;0,"※社保の扶養が外れた６５歳以上の方は、当分の間所得割がかかりません","")</f>
        <v/>
      </c>
      <c r="AK6" s="46"/>
      <c r="AL6" s="46"/>
      <c r="AM6" s="46"/>
      <c r="AN6" s="46"/>
      <c r="AO6" s="105"/>
      <c r="AP6" s="105"/>
      <c r="AQ6" s="105"/>
      <c r="AR6" s="105"/>
      <c r="AS6" s="105"/>
      <c r="AT6" s="105"/>
      <c r="AU6" s="105"/>
      <c r="AV6" s="105"/>
      <c r="AW6" s="105"/>
      <c r="AX6" s="105"/>
      <c r="AY6" s="105"/>
      <c r="AZ6" s="105"/>
      <c r="BA6" s="105"/>
      <c r="BB6" s="105"/>
      <c r="BC6" s="105"/>
      <c r="BD6" s="105"/>
      <c r="BE6" s="105"/>
      <c r="BF6" s="105"/>
      <c r="BG6" s="105"/>
      <c r="BH6" s="105"/>
      <c r="BI6" s="105"/>
      <c r="BJ6" s="105"/>
      <c r="BK6" s="23"/>
      <c r="BL6" s="23"/>
      <c r="BM6" s="108"/>
      <c r="BN6" s="89"/>
      <c r="BO6" t="s">
        <v>156</v>
      </c>
      <c r="BP6"/>
      <c r="BT6" s="4" t="s">
        <v>136</v>
      </c>
      <c r="BX6" s="4" t="s">
        <v>235</v>
      </c>
      <c r="CA6" s="98"/>
      <c r="CB6" s="4" t="s">
        <v>16</v>
      </c>
      <c r="CF6" s="140"/>
      <c r="CG6" s="147" t="s">
        <v>187</v>
      </c>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row>
    <row r="7" spans="1:124" s="4" customFormat="1" ht="13.5" customHeight="1" thickBot="1" x14ac:dyDescent="0.25">
      <c r="A7" s="90"/>
      <c r="B7" s="8"/>
      <c r="C7" s="8"/>
      <c r="D7" s="8"/>
      <c r="E7" s="8"/>
      <c r="F7" s="8"/>
      <c r="G7" s="8"/>
      <c r="H7" s="8"/>
      <c r="I7" s="8"/>
      <c r="J7" s="8"/>
      <c r="K7" s="8"/>
      <c r="L7" s="28"/>
      <c r="M7" s="29"/>
      <c r="N7" s="8"/>
      <c r="O7" s="8"/>
      <c r="P7" s="8"/>
      <c r="Q7" s="8"/>
      <c r="R7" s="8"/>
      <c r="S7" s="8"/>
      <c r="T7" s="8"/>
      <c r="U7" s="8"/>
      <c r="V7" s="8"/>
      <c r="W7" s="8"/>
      <c r="X7" s="8"/>
      <c r="Y7" s="42"/>
      <c r="Z7" s="42"/>
      <c r="AA7" s="43"/>
      <c r="AB7" s="429"/>
      <c r="AC7" s="430"/>
      <c r="AD7" s="430"/>
      <c r="AE7" s="430"/>
      <c r="AF7" s="431"/>
      <c r="AG7" s="8"/>
      <c r="AH7" s="23"/>
      <c r="AI7" s="109"/>
      <c r="AJ7" s="128"/>
      <c r="AK7" s="110"/>
      <c r="AL7" s="110"/>
      <c r="AM7" s="110"/>
      <c r="AN7" s="110"/>
      <c r="AO7" s="111"/>
      <c r="AP7" s="111"/>
      <c r="AQ7" s="111"/>
      <c r="AR7" s="111"/>
      <c r="AS7" s="111"/>
      <c r="AT7" s="111"/>
      <c r="AU7" s="111"/>
      <c r="AV7" s="111"/>
      <c r="AW7" s="111"/>
      <c r="AX7" s="111"/>
      <c r="AY7" s="111"/>
      <c r="AZ7" s="111"/>
      <c r="BA7" s="111"/>
      <c r="BB7" s="111"/>
      <c r="BC7" s="111"/>
      <c r="BD7" s="111"/>
      <c r="BE7" s="111"/>
      <c r="BF7" s="111"/>
      <c r="BG7" s="111"/>
      <c r="BH7" s="111"/>
      <c r="BI7" s="111"/>
      <c r="BJ7" s="111"/>
      <c r="BK7" s="53"/>
      <c r="BL7" s="53"/>
      <c r="BM7" s="112"/>
      <c r="BN7" s="89"/>
      <c r="BO7" s="116" t="s">
        <v>150</v>
      </c>
      <c r="BP7" s="375">
        <f>IF(試算表!CJ34=1,IF(試算表!CN34=1,IF(AB4="２割軽減",料率!F11-BT7,IF(AB4="７割軽減",料率!F6,IF(AB4="５割軽減",料率!F6,料率!F11))),料率!F6),0)</f>
        <v>0</v>
      </c>
      <c r="BQ7" s="375"/>
      <c r="BR7" s="375"/>
      <c r="BS7" s="37"/>
      <c r="BT7" s="364">
        <f>IF(試算表!CJ9=試算表!CG15,IF(試算表!AB4="７割軽減",料率!B16,IF(試算表!AB4="５割軽減",料率!F16,IF(試算表!AB4="２割軽減",料率!J16,0))),0)</f>
        <v>0</v>
      </c>
      <c r="BU7" s="364"/>
      <c r="BV7" s="364"/>
      <c r="BW7" s="37"/>
      <c r="BX7" s="364">
        <f>IF(試算シート!$I$16="未就学児",-ROUNDUP((試算表!BP7+試算表!BT7)/2,0),0)</f>
        <v>0</v>
      </c>
      <c r="BY7" s="364"/>
      <c r="BZ7" s="364"/>
      <c r="CA7" s="204"/>
      <c r="CB7" s="381">
        <f>IF(AB6="平等割＋均等割半額",料率!I11,AC28)</f>
        <v>20800</v>
      </c>
      <c r="CC7" s="381"/>
      <c r="CD7" s="381"/>
      <c r="CF7" s="140"/>
      <c r="CG7" s="148" t="s">
        <v>186</v>
      </c>
      <c r="CH7" s="140"/>
      <c r="CI7" s="140"/>
      <c r="CJ7" s="140"/>
      <c r="CK7" s="140"/>
      <c r="CL7" s="140"/>
      <c r="CM7" s="140"/>
      <c r="CN7" s="140"/>
      <c r="CO7" s="140"/>
      <c r="CP7" s="140"/>
      <c r="CQ7" s="140"/>
      <c r="CR7" s="140"/>
      <c r="CS7" s="140"/>
      <c r="CT7" s="140"/>
      <c r="CU7" s="140"/>
      <c r="CV7" s="140"/>
      <c r="CW7" s="140"/>
      <c r="CX7" s="140"/>
      <c r="CY7" s="140"/>
      <c r="CZ7" s="140"/>
      <c r="DA7" s="140"/>
      <c r="DB7" s="140"/>
      <c r="DC7" s="140"/>
      <c r="DD7" s="140"/>
      <c r="DE7" s="140"/>
      <c r="DF7" s="140"/>
      <c r="DG7" s="140"/>
      <c r="DH7" s="140"/>
      <c r="DI7" s="140"/>
      <c r="DJ7" s="140"/>
      <c r="DK7" s="140"/>
      <c r="DL7" s="140"/>
      <c r="DM7" s="140"/>
      <c r="DN7" s="140"/>
      <c r="DO7" s="140"/>
      <c r="DP7" s="140"/>
      <c r="DQ7" s="140"/>
      <c r="DR7" s="140"/>
      <c r="DS7" s="140"/>
      <c r="DT7" s="140"/>
    </row>
    <row r="8" spans="1:124" s="4" customFormat="1" ht="11.25" customHeight="1" x14ac:dyDescent="0.2">
      <c r="A8" s="90"/>
      <c r="B8" s="46"/>
      <c r="C8" s="46"/>
      <c r="D8" s="46"/>
      <c r="E8" s="46"/>
      <c r="F8" s="47"/>
      <c r="G8" s="47"/>
      <c r="H8" s="47"/>
      <c r="I8" s="47"/>
      <c r="J8" s="47"/>
      <c r="K8" s="47"/>
      <c r="L8" s="47"/>
      <c r="M8" s="47"/>
      <c r="N8" s="47"/>
      <c r="O8" s="47"/>
      <c r="P8" s="47"/>
      <c r="Q8" s="47"/>
      <c r="R8" s="47"/>
      <c r="S8" s="47"/>
      <c r="T8" s="47"/>
      <c r="U8" s="47"/>
      <c r="V8" s="47"/>
      <c r="W8" s="47"/>
      <c r="X8" s="47"/>
      <c r="Y8" s="47"/>
      <c r="Z8" s="47"/>
      <c r="AA8" s="8"/>
      <c r="AB8" s="8"/>
      <c r="AC8" s="8"/>
      <c r="AD8" s="8"/>
      <c r="AE8" s="8"/>
      <c r="AF8" s="8"/>
      <c r="AG8" s="8"/>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89"/>
      <c r="BO8" s="116" t="s">
        <v>100</v>
      </c>
      <c r="BP8" s="375">
        <f>IF(試算表!CJ35=1,IF(試算表!CN35=1,IF(AB4="２割軽減",料率!F11-BT8,IF(AB4="７割軽減",料率!F6,IF(AB4="５割軽減",料率!F6,料率!F11))),料率!F6),0)</f>
        <v>0</v>
      </c>
      <c r="BQ8" s="375"/>
      <c r="BR8" s="375"/>
      <c r="BS8" s="37"/>
      <c r="BT8" s="364">
        <f>IF(試算表!CP9=試算表!CG21,IF(試算表!AB4="７割軽減",料率!B16,IF(試算表!AB4="５割軽減",料率!F16,IF(試算表!AB4="２割軽減",料率!J16,0))),0)</f>
        <v>0</v>
      </c>
      <c r="BU8" s="364"/>
      <c r="BV8" s="364"/>
      <c r="BW8" s="37"/>
      <c r="BX8" s="364">
        <f>IF(試算シート!$N$16="未就学児",-ROUNDUP((試算表!BP8+試算表!BT8)/2,0),0)</f>
        <v>0</v>
      </c>
      <c r="BY8" s="364"/>
      <c r="BZ8" s="364"/>
      <c r="CA8" s="201"/>
      <c r="CB8" s="4" t="s">
        <v>136</v>
      </c>
      <c r="CF8" s="140"/>
      <c r="CG8" s="140"/>
      <c r="CH8" s="140"/>
      <c r="CI8" s="140"/>
      <c r="CJ8" s="279" t="s">
        <v>118</v>
      </c>
      <c r="CK8" s="279"/>
      <c r="CL8" s="279"/>
      <c r="CM8" s="279"/>
      <c r="CN8" s="279"/>
      <c r="CO8" s="150"/>
      <c r="CP8" s="283" t="s">
        <v>123</v>
      </c>
      <c r="CQ8" s="283"/>
      <c r="CR8" s="283"/>
      <c r="CS8" s="283"/>
      <c r="CT8" s="150"/>
      <c r="CU8" s="283" t="s">
        <v>124</v>
      </c>
      <c r="CV8" s="283"/>
      <c r="CW8" s="283"/>
      <c r="CX8" s="283"/>
      <c r="CY8" s="150"/>
      <c r="CZ8" s="283" t="s">
        <v>125</v>
      </c>
      <c r="DA8" s="283"/>
      <c r="DB8" s="283"/>
      <c r="DC8" s="283"/>
      <c r="DD8" s="150"/>
      <c r="DE8" s="283" t="s">
        <v>126</v>
      </c>
      <c r="DF8" s="283"/>
      <c r="DG8" s="283"/>
      <c r="DH8" s="283"/>
      <c r="DI8" s="140"/>
      <c r="DJ8" s="140"/>
      <c r="DK8" s="140"/>
      <c r="DL8" s="140"/>
      <c r="DM8" s="140"/>
      <c r="DN8" s="140"/>
      <c r="DO8" s="283" t="s">
        <v>128</v>
      </c>
      <c r="DP8" s="283"/>
      <c r="DQ8" s="283"/>
      <c r="DR8" s="283"/>
      <c r="DS8" s="140"/>
      <c r="DT8" s="140"/>
    </row>
    <row r="9" spans="1:124" s="4" customFormat="1" x14ac:dyDescent="0.2">
      <c r="A9" s="90"/>
      <c r="B9" s="69" t="s">
        <v>173</v>
      </c>
      <c r="C9" s="7"/>
      <c r="D9" s="7"/>
      <c r="E9" s="7"/>
      <c r="F9" s="7"/>
      <c r="G9" s="28"/>
      <c r="H9" s="8"/>
      <c r="I9" s="70"/>
      <c r="J9" s="71"/>
      <c r="K9" s="70"/>
      <c r="L9" s="70"/>
      <c r="M9" s="70"/>
      <c r="N9" s="70"/>
      <c r="O9" s="70"/>
      <c r="P9" s="70"/>
      <c r="Q9" s="70"/>
      <c r="R9" s="70"/>
      <c r="S9" s="70"/>
      <c r="T9" s="70"/>
      <c r="U9" s="8"/>
      <c r="V9" s="8"/>
      <c r="W9" s="8"/>
      <c r="X9" s="8"/>
      <c r="Y9" s="8"/>
      <c r="Z9" s="8"/>
      <c r="AA9" s="8"/>
      <c r="AB9" s="8"/>
      <c r="AC9" s="8"/>
      <c r="AD9" s="8"/>
      <c r="AE9" s="8"/>
      <c r="AF9" s="8"/>
      <c r="AG9" s="8"/>
      <c r="AH9" s="23"/>
      <c r="AI9" s="72" t="s">
        <v>175</v>
      </c>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89"/>
      <c r="BO9" s="117" t="s">
        <v>151</v>
      </c>
      <c r="BP9" s="375">
        <f>IF(試算表!CJ36=1,IF(試算表!CN36=1,IF(AB4="２割軽減",料率!F11-BT9,IF(AB4="７割軽減",料率!F6,IF(AB4="５割軽減",料率!F6,料率!F11))),料率!F6),0)</f>
        <v>0</v>
      </c>
      <c r="BQ9" s="375"/>
      <c r="BR9" s="375"/>
      <c r="BS9" s="37"/>
      <c r="BT9" s="364">
        <f>IF(試算表!CU9=試算表!CG21,IF(試算表!AB4="７割軽減",料率!B16,IF(試算表!AB4="５割軽減",料率!F16,IF(試算表!AB4="２割軽減",料率!J16,0))),0)</f>
        <v>0</v>
      </c>
      <c r="BU9" s="364"/>
      <c r="BV9" s="364"/>
      <c r="BW9" s="37"/>
      <c r="BX9" s="364">
        <f>IF(試算シート!$R$16="未就学児",-ROUNDUP((試算表!BP9+試算表!BT9)/2,0),0)</f>
        <v>0</v>
      </c>
      <c r="BY9" s="364"/>
      <c r="BZ9" s="364"/>
      <c r="CA9" s="205"/>
      <c r="CB9" s="383">
        <f>IF(AB6="平等割半額",IF(試算表!AB4="７割軽減",料率!O16,IF(試算表!AB4="５割軽減",料率!Q16,IF(試算表!AB4="２割軽減",料率!S16,0))),IF(AB6="平等割＋均等割半額",0,IF(試算表!AB4="７割軽減",料率!D16,IF(試算表!AB4="５割軽減",料率!H16,IF(試算表!AB4="２割軽減",料率!L16,0)))))</f>
        <v>-14560</v>
      </c>
      <c r="CC9" s="384"/>
      <c r="CD9" s="385"/>
      <c r="CF9" s="140"/>
      <c r="CG9" s="140"/>
      <c r="CH9" s="140"/>
      <c r="CI9" s="140"/>
      <c r="CJ9" s="503" t="str">
        <f>IF(試算シート!I15=DJ9,"世帯主","擬制世帯主")</f>
        <v>擬制世帯主</v>
      </c>
      <c r="CK9" s="504"/>
      <c r="CL9" s="504"/>
      <c r="CM9" s="504"/>
      <c r="CN9" s="505"/>
      <c r="CO9" s="153"/>
      <c r="CP9" s="468" t="str">
        <f>IF(試算シート!N16="","非加入者","被保険者")</f>
        <v>非加入者</v>
      </c>
      <c r="CQ9" s="468"/>
      <c r="CR9" s="468"/>
      <c r="CS9" s="468"/>
      <c r="CT9" s="154"/>
      <c r="CU9" s="525" t="str">
        <f>IF(試算シート!R16="","非加入者","被保険者")</f>
        <v>非加入者</v>
      </c>
      <c r="CV9" s="526"/>
      <c r="CW9" s="526"/>
      <c r="CX9" s="527"/>
      <c r="CY9" s="154"/>
      <c r="CZ9" s="525" t="str">
        <f>IF(試算シート!V16="","非加入者","被保険者")</f>
        <v>非加入者</v>
      </c>
      <c r="DA9" s="526"/>
      <c r="DB9" s="526"/>
      <c r="DC9" s="527"/>
      <c r="DD9" s="154"/>
      <c r="DE9" s="525" t="str">
        <f>IF(試算シート!Z16="","非加入者","被保険者")</f>
        <v>非加入者</v>
      </c>
      <c r="DF9" s="526"/>
      <c r="DG9" s="526"/>
      <c r="DH9" s="527"/>
      <c r="DI9" s="140"/>
      <c r="DJ9" s="214" t="s">
        <v>259</v>
      </c>
      <c r="DK9" s="215"/>
      <c r="DL9" s="215"/>
      <c r="DM9" s="216"/>
      <c r="DN9" s="140"/>
      <c r="DO9" s="530" t="s">
        <v>117</v>
      </c>
      <c r="DP9" s="531"/>
      <c r="DQ9" s="531"/>
      <c r="DR9" s="532"/>
      <c r="DS9" s="140"/>
      <c r="DT9" s="140"/>
    </row>
    <row r="10" spans="1:124" s="4" customFormat="1" x14ac:dyDescent="0.2">
      <c r="A10" s="90"/>
      <c r="B10" s="8"/>
      <c r="C10" s="8" t="s">
        <v>73</v>
      </c>
      <c r="D10" s="8"/>
      <c r="E10" s="8"/>
      <c r="F10" s="8"/>
      <c r="G10" s="8"/>
      <c r="H10" s="8"/>
      <c r="I10" s="8"/>
      <c r="J10" s="8"/>
      <c r="K10" s="8"/>
      <c r="L10" s="8"/>
      <c r="M10" s="8"/>
      <c r="N10" s="8"/>
      <c r="O10" s="8"/>
      <c r="P10" s="8"/>
      <c r="Q10" s="8"/>
      <c r="R10" s="8"/>
      <c r="S10" s="8"/>
      <c r="T10" s="8"/>
      <c r="U10" s="8"/>
      <c r="V10" s="8"/>
      <c r="W10" s="8"/>
      <c r="X10" s="8"/>
      <c r="Y10" s="8"/>
      <c r="Z10" s="8"/>
      <c r="AA10" s="8"/>
      <c r="AB10" s="8" t="s">
        <v>75</v>
      </c>
      <c r="AC10" s="8"/>
      <c r="AD10" s="8"/>
      <c r="AE10" s="8"/>
      <c r="AF10" s="8"/>
      <c r="AG10" s="8"/>
      <c r="AH10" s="23"/>
      <c r="AI10" s="8"/>
      <c r="AJ10" s="8" t="s">
        <v>73</v>
      </c>
      <c r="AK10" s="8"/>
      <c r="AL10" s="8"/>
      <c r="AM10" s="8"/>
      <c r="AN10" s="8"/>
      <c r="AO10" s="8"/>
      <c r="AP10" s="8"/>
      <c r="AQ10" s="8"/>
      <c r="AR10" s="8"/>
      <c r="AS10" s="8"/>
      <c r="AT10" s="8"/>
      <c r="AU10" s="8"/>
      <c r="AV10" s="8"/>
      <c r="AW10" s="8"/>
      <c r="AX10" s="8"/>
      <c r="AY10" s="8"/>
      <c r="AZ10" s="8"/>
      <c r="BA10" s="8"/>
      <c r="BB10" s="8"/>
      <c r="BC10" s="8"/>
      <c r="BD10" s="8"/>
      <c r="BE10" s="8"/>
      <c r="BF10" s="8"/>
      <c r="BG10" s="8"/>
      <c r="BH10" s="8"/>
      <c r="BI10" s="8" t="s">
        <v>75</v>
      </c>
      <c r="BJ10" s="8"/>
      <c r="BK10" s="8"/>
      <c r="BL10" s="8"/>
      <c r="BM10" s="8"/>
      <c r="BN10" s="89"/>
      <c r="BO10" s="117" t="s">
        <v>102</v>
      </c>
      <c r="BP10" s="375">
        <f>IF(試算表!CJ37=1,IF(試算表!CN37=1,IF(AB4="２割軽減",料率!F11-BT10,IF(AB4="７割軽減",料率!F6,IF(AB4="５割軽減",料率!F6,料率!F11))),料率!F6),0)</f>
        <v>0</v>
      </c>
      <c r="BQ10" s="375"/>
      <c r="BR10" s="375"/>
      <c r="BS10" s="37"/>
      <c r="BT10" s="364">
        <f>IF(試算表!CZ9=試算表!CG21,IF(試算表!AB4="７割軽減",料率!B16,IF(試算表!AB4="５割軽減",料率!F16,IF(試算表!AB4="２割軽減",料率!J16,0))),0)</f>
        <v>0</v>
      </c>
      <c r="BU10" s="364"/>
      <c r="BV10" s="364"/>
      <c r="BW10" s="37"/>
      <c r="BX10" s="364">
        <f>IF(試算シート!$V$16="未就学児",-ROUNDUP((試算表!BP10+試算表!BT10)/2,0),0)</f>
        <v>0</v>
      </c>
      <c r="BY10" s="364"/>
      <c r="BZ10" s="364"/>
      <c r="CA10" s="201"/>
      <c r="CF10" s="140"/>
      <c r="CG10" s="559" t="s">
        <v>18</v>
      </c>
      <c r="CH10" s="559"/>
      <c r="CI10" s="559"/>
      <c r="CJ10" s="469"/>
      <c r="CK10" s="469"/>
      <c r="CL10" s="469"/>
      <c r="CM10" s="469"/>
      <c r="CN10" s="469"/>
      <c r="CO10" s="140"/>
      <c r="CP10" s="469"/>
      <c r="CQ10" s="469"/>
      <c r="CR10" s="469"/>
      <c r="CS10" s="469"/>
      <c r="CT10" s="140"/>
      <c r="CU10" s="469"/>
      <c r="CV10" s="469"/>
      <c r="CW10" s="469"/>
      <c r="CX10" s="469"/>
      <c r="CY10" s="140"/>
      <c r="CZ10" s="469"/>
      <c r="DA10" s="469"/>
      <c r="DB10" s="469"/>
      <c r="DC10" s="469"/>
      <c r="DD10" s="140"/>
      <c r="DE10" s="469"/>
      <c r="DF10" s="469"/>
      <c r="DG10" s="469"/>
      <c r="DH10" s="469"/>
      <c r="DI10" s="140"/>
      <c r="DJ10" s="217" t="s">
        <v>234</v>
      </c>
      <c r="DK10" s="218"/>
      <c r="DL10" s="218"/>
      <c r="DM10" s="219"/>
      <c r="DN10" s="140"/>
      <c r="DO10" s="533" t="s">
        <v>132</v>
      </c>
      <c r="DP10" s="534"/>
      <c r="DQ10" s="534"/>
      <c r="DR10" s="535"/>
      <c r="DS10" s="140"/>
      <c r="DT10" s="140"/>
    </row>
    <row r="11" spans="1:124" s="4" customFormat="1" ht="13.5" customHeight="1" x14ac:dyDescent="0.2">
      <c r="A11" s="90"/>
      <c r="B11" s="8"/>
      <c r="C11" s="8"/>
      <c r="D11" s="8"/>
      <c r="E11" s="8"/>
      <c r="F11" s="8"/>
      <c r="G11" s="8" t="s">
        <v>66</v>
      </c>
      <c r="H11" s="8"/>
      <c r="I11" s="8"/>
      <c r="J11" s="8"/>
      <c r="K11" s="8"/>
      <c r="L11" s="8"/>
      <c r="M11" s="8"/>
      <c r="N11" s="8"/>
      <c r="O11" s="8"/>
      <c r="P11" s="8"/>
      <c r="Q11" s="73"/>
      <c r="R11" s="8"/>
      <c r="S11" s="8"/>
      <c r="T11" s="8"/>
      <c r="U11" s="8"/>
      <c r="V11" s="8"/>
      <c r="W11" s="8"/>
      <c r="X11" s="8"/>
      <c r="Y11" s="8"/>
      <c r="Z11" s="8"/>
      <c r="AA11" s="8"/>
      <c r="AB11" s="8"/>
      <c r="AC11" s="8"/>
      <c r="AD11" s="8"/>
      <c r="AE11" s="8"/>
      <c r="AF11" s="8"/>
      <c r="AG11" s="8"/>
      <c r="AH11" s="23"/>
      <c r="AI11" s="8"/>
      <c r="AJ11" s="8"/>
      <c r="AK11" s="8"/>
      <c r="AL11" s="8"/>
      <c r="AM11" s="8"/>
      <c r="AN11" s="8" t="s">
        <v>66</v>
      </c>
      <c r="AO11" s="8"/>
      <c r="AP11" s="8"/>
      <c r="AQ11" s="8"/>
      <c r="AR11" s="8"/>
      <c r="AS11" s="8"/>
      <c r="AT11" s="8"/>
      <c r="AU11" s="8"/>
      <c r="AV11" s="8"/>
      <c r="AW11" s="8"/>
      <c r="AX11" s="73"/>
      <c r="AY11" s="8"/>
      <c r="AZ11" s="8"/>
      <c r="BA11" s="8"/>
      <c r="BB11" s="8"/>
      <c r="BC11" s="8"/>
      <c r="BD11" s="8"/>
      <c r="BE11" s="8"/>
      <c r="BF11" s="8"/>
      <c r="BG11" s="8"/>
      <c r="BH11" s="8"/>
      <c r="BI11" s="8"/>
      <c r="BJ11" s="8"/>
      <c r="BK11" s="8"/>
      <c r="BL11" s="8"/>
      <c r="BM11" s="8"/>
      <c r="BN11" s="89"/>
      <c r="BO11" s="117" t="s">
        <v>103</v>
      </c>
      <c r="BP11" s="375">
        <f>IF(試算表!CJ38=1,IF(試算表!CN38=1,IF(AB4="２割軽減",料率!F11-BT11,IF(AB4="７割軽減",料率!F6,IF(AB4="５割軽減",料率!F6,料率!F11))),料率!F6),0)</f>
        <v>0</v>
      </c>
      <c r="BQ11" s="375"/>
      <c r="BR11" s="375"/>
      <c r="BS11" s="37"/>
      <c r="BT11" s="364">
        <f>IF(試算表!DE9=試算表!CG21,IF(試算表!AB4="７割軽減",料率!B16,IF(試算表!AB4="５割軽減",料率!F16,IF(試算表!AB4="２割軽減",料率!J16,0))),0)</f>
        <v>0</v>
      </c>
      <c r="BU11" s="364"/>
      <c r="BV11" s="364"/>
      <c r="BW11" s="37"/>
      <c r="BX11" s="364">
        <f>IF(試算シート!$Z$16="未就学児",-ROUNDUP((試算表!BP11+試算表!BT11)/2,0),0)</f>
        <v>0</v>
      </c>
      <c r="BY11" s="364"/>
      <c r="BZ11" s="364"/>
      <c r="CA11" s="201"/>
      <c r="CF11" s="140"/>
      <c r="CG11" s="528" t="s">
        <v>197</v>
      </c>
      <c r="CH11" s="528"/>
      <c r="CI11" s="528"/>
      <c r="CJ11" s="497" t="str">
        <f>IF(試算シート!I18&gt;0,"あり",IF(試算シート!I19&gt;0,"あり",IF(CJ10&gt;0,"あり","")))</f>
        <v/>
      </c>
      <c r="CK11" s="498"/>
      <c r="CL11" s="498"/>
      <c r="CM11" s="498"/>
      <c r="CN11" s="499"/>
      <c r="CO11" s="156"/>
      <c r="CP11" s="529" t="str">
        <f>_xlfn.IFS(CP9=$CG$24,"",試算シート!N18&gt;0,"あり",試算シート!N19&gt;0,"あり",CP10&gt;0,"あり",SUM(試算シート!L26:O28)=0,"")</f>
        <v/>
      </c>
      <c r="CQ11" s="529"/>
      <c r="CR11" s="529"/>
      <c r="CS11" s="529"/>
      <c r="CT11" s="156"/>
      <c r="CU11" s="529" t="str">
        <f>_xlfn.IFS(CU9=$CG$24,"",試算シート!R18&gt;0,"あり",試算シート!R19&gt;0,"あり",CU10&gt;0,"あり",SUM(試算シート!Q26:S28)=0,"")</f>
        <v/>
      </c>
      <c r="CV11" s="529"/>
      <c r="CW11" s="529"/>
      <c r="CX11" s="529"/>
      <c r="CY11" s="157"/>
      <c r="CZ11" s="529" t="str">
        <f>_xlfn.IFS(CZ9=$CG$24,"",試算シート!V18&gt;0,"あり",試算シート!V19&gt;0,"あり",CZ10&gt;0,"あり",SUM(試算シート!U26:W28)=0,"")</f>
        <v/>
      </c>
      <c r="DA11" s="529"/>
      <c r="DB11" s="529"/>
      <c r="DC11" s="529"/>
      <c r="DD11" s="157"/>
      <c r="DE11" s="529" t="str">
        <f>_xlfn.IFS(DE9=$CG$24,"",試算シート!Z18&gt;0,"あり",試算シート!Z19&gt;0,"あり",DE10&gt;0,"あり",SUM(試算シート!Y26:AA28)=0,"")</f>
        <v/>
      </c>
      <c r="DF11" s="529"/>
      <c r="DG11" s="529"/>
      <c r="DH11" s="529"/>
      <c r="DI11" s="140"/>
      <c r="DJ11" s="140" t="s">
        <v>260</v>
      </c>
      <c r="DK11" s="140"/>
      <c r="DL11" s="140"/>
      <c r="DM11" s="140"/>
      <c r="DN11" s="140"/>
      <c r="DO11" s="158" t="str">
        <f>IF(DO9=CG22,IF(DO10=CG31,"","年齢は65以上"),IF(DO9=CG23,IF(DO10=CG31,"","年齢は65以上"),""))</f>
        <v/>
      </c>
      <c r="DP11" s="140"/>
      <c r="DQ11" s="140"/>
      <c r="DR11" s="159" t="str">
        <f>IF(DO9=CG21,IF(DO10=CG31,"年齢を入力",""),"")</f>
        <v/>
      </c>
      <c r="DS11" s="140"/>
      <c r="DT11" s="140"/>
    </row>
    <row r="12" spans="1:124" s="4" customFormat="1" ht="14.25" customHeight="1" x14ac:dyDescent="0.2">
      <c r="A12" s="90"/>
      <c r="B12" s="8"/>
      <c r="C12" s="397" t="str">
        <f>IF(試算表!CJ9=試算表!CG15,試算表!CG15,"擬制世帯主")</f>
        <v>擬制世帯主</v>
      </c>
      <c r="D12" s="397"/>
      <c r="E12" s="397"/>
      <c r="F12" s="7" t="s">
        <v>70</v>
      </c>
      <c r="G12" s="372">
        <f>試算表!CM42</f>
        <v>0</v>
      </c>
      <c r="H12" s="372"/>
      <c r="I12" s="372"/>
      <c r="J12" s="372"/>
      <c r="K12" s="8" t="s">
        <v>68</v>
      </c>
      <c r="L12" s="7" t="s">
        <v>69</v>
      </c>
      <c r="M12" s="398">
        <f>料率!E32</f>
        <v>430000</v>
      </c>
      <c r="N12" s="398"/>
      <c r="O12" s="398"/>
      <c r="P12" s="8" t="s">
        <v>68</v>
      </c>
      <c r="Q12" s="8" t="s">
        <v>74</v>
      </c>
      <c r="R12" s="399">
        <f>料率!B11</f>
        <v>7.7</v>
      </c>
      <c r="S12" s="399"/>
      <c r="T12" s="7" t="s">
        <v>71</v>
      </c>
      <c r="U12" s="373">
        <v>100</v>
      </c>
      <c r="V12" s="373"/>
      <c r="W12" s="7" t="s">
        <v>72</v>
      </c>
      <c r="X12" s="439">
        <f>IF(試算表!CN34=1,0,IF(G12-M12&lt;0,0,ROUNDDOWN((G12-M12)*R12/U12,0)))</f>
        <v>0</v>
      </c>
      <c r="Y12" s="439"/>
      <c r="Z12" s="439"/>
      <c r="AA12" s="7"/>
      <c r="AB12" s="7" t="s">
        <v>82</v>
      </c>
      <c r="AC12" s="372">
        <f>IF(試算表!CJ34=1,料率!F6,0)</f>
        <v>0</v>
      </c>
      <c r="AD12" s="372"/>
      <c r="AE12" s="372"/>
      <c r="AF12" s="8"/>
      <c r="AG12" s="8"/>
      <c r="AH12" s="23"/>
      <c r="AI12" s="8"/>
      <c r="AJ12" s="397" t="str">
        <f>IF(試算表!CJ9=試算表!CG15,試算表!CG15,"擬制世帯主")</f>
        <v>擬制世帯主</v>
      </c>
      <c r="AK12" s="397"/>
      <c r="AL12" s="397"/>
      <c r="AM12" s="7" t="s">
        <v>70</v>
      </c>
      <c r="AN12" s="372">
        <f>IF(試算表!CK34=1,試算表!CM42,0)</f>
        <v>0</v>
      </c>
      <c r="AO12" s="372"/>
      <c r="AP12" s="372"/>
      <c r="AQ12" s="372"/>
      <c r="AR12" s="8" t="s">
        <v>68</v>
      </c>
      <c r="AS12" s="7" t="s">
        <v>69</v>
      </c>
      <c r="AT12" s="398">
        <f>料率!E32</f>
        <v>430000</v>
      </c>
      <c r="AU12" s="398"/>
      <c r="AV12" s="398"/>
      <c r="AW12" s="8" t="s">
        <v>68</v>
      </c>
      <c r="AX12" s="8" t="s">
        <v>74</v>
      </c>
      <c r="AY12" s="399">
        <f>料率!L6</f>
        <v>2.8</v>
      </c>
      <c r="AZ12" s="399"/>
      <c r="BA12" s="7" t="s">
        <v>71</v>
      </c>
      <c r="BB12" s="373">
        <v>100</v>
      </c>
      <c r="BC12" s="373"/>
      <c r="BD12" s="7" t="s">
        <v>72</v>
      </c>
      <c r="BE12" s="374">
        <f>IF(AN12-AT12&lt;0,0,ROUNDDOWN((AN12-AT12)*AY12/BB12,0))</f>
        <v>0</v>
      </c>
      <c r="BF12" s="374"/>
      <c r="BG12" s="374"/>
      <c r="BH12" s="75"/>
      <c r="BI12" s="7" t="s">
        <v>82</v>
      </c>
      <c r="BJ12" s="372">
        <f>IF(試算表!CK34=1,料率!P6,0)</f>
        <v>0</v>
      </c>
      <c r="BK12" s="372"/>
      <c r="BL12" s="372"/>
      <c r="BM12" s="76"/>
      <c r="BN12" s="89"/>
      <c r="BO12" s="117" t="s">
        <v>104</v>
      </c>
      <c r="BP12" s="396">
        <f>IF(試算表!CJ39=1,IF(試算表!CN39=1,IF(AB4="２割軽減",料率!F11-BT12,IF(AB4="７割軽減",料率!F6,IF(AB4="５割軽減",料率!F6,料率!F11))),料率!F6),0)</f>
        <v>0</v>
      </c>
      <c r="BQ12" s="396"/>
      <c r="BR12" s="396"/>
      <c r="BS12" s="37"/>
      <c r="BT12" s="363">
        <f>IF(試算表!DO9=試算表!CG21,IF(試算表!AB4="７割軽減",料率!B16,IF(試算表!AB4="５割軽減",料率!F16,IF(試算表!AB4="２割軽減",料率!J16,0))),0)</f>
        <v>0</v>
      </c>
      <c r="BU12" s="363"/>
      <c r="BV12" s="363"/>
      <c r="BW12" s="37"/>
      <c r="BX12" s="363">
        <v>0</v>
      </c>
      <c r="BY12" s="363"/>
      <c r="BZ12" s="363"/>
      <c r="CA12" s="201"/>
      <c r="CF12" s="140"/>
      <c r="CG12" s="140"/>
      <c r="CH12" s="140"/>
      <c r="CI12" s="140"/>
      <c r="CJ12" s="465" t="str">
        <f>IF(試算シート!I16=CG29,IF(試算シート!I19&gt;0,"年金の入力場所が違うよ、ただし、当該年の１月１日が６４歳であればそのままでOK！",""),IF(試算シート!I16=CG28,IF(CJ10&gt;0,"年金の入力場所が違うよ",""),""))</f>
        <v/>
      </c>
      <c r="CK12" s="465"/>
      <c r="CL12" s="465"/>
      <c r="CM12" s="465"/>
      <c r="CN12" s="465"/>
      <c r="CO12" s="465"/>
      <c r="CP12" s="465"/>
      <c r="CQ12" s="465"/>
      <c r="CR12" s="165"/>
      <c r="CS12" s="466" t="str">
        <f>IF(試算シート!N16=CG31,IF(試算シート!N19&gt;0,"年金の入力場所が違うよ、ただし、当該年の１月１日が６４歳であればそのままでOK！",""),IF(試算シート!N16=CG30,IF(CP10&gt;0,"年金の入力場所が違うよ",""),""))</f>
        <v/>
      </c>
      <c r="CT12" s="466"/>
      <c r="CU12" s="466"/>
      <c r="CV12" s="466"/>
      <c r="CW12" s="165"/>
      <c r="CX12" s="467" t="str">
        <f>IF(試算シート!R16=CG31,IF(試算シート!R19&gt;0,"年金の入力場所が違うよ、ただし、当該年の１月１日が６４歳であればそのままでOK！",""),IF(試算シート!R16=CG30,IF(CU10&gt;0,"年金の入力場所が違うよ",""),""))</f>
        <v/>
      </c>
      <c r="CY12" s="467"/>
      <c r="CZ12" s="467"/>
      <c r="DA12" s="467"/>
      <c r="DB12" s="140"/>
      <c r="DC12" s="466" t="str">
        <f>IF(試算シート!V16=CG31,IF(試算シート!V19&gt;0,"年金の入力場所が違うよ、ただし、当該年の１月１日が６４歳であればそのままでOK！",""),IF(試算シート!V16=CG30,IF(CZ10&gt;0,"年金の入力場所が違うよ",""),""))</f>
        <v/>
      </c>
      <c r="DD12" s="466"/>
      <c r="DE12" s="466"/>
      <c r="DF12" s="466"/>
      <c r="DG12" s="165"/>
      <c r="DH12" s="466" t="str">
        <f>IF(試算シート!Z16=CG31,IF(試算シート!Z19&gt;0,"年金の入力場所が違うよ、ただし、当該年の１月１日が６４歳であればそのままでOK！",""),IF(試算シート!Z16=CG30,IF(DE10&gt;0,"年金の入力場所が違うよ",""),""))</f>
        <v/>
      </c>
      <c r="DI12" s="466"/>
      <c r="DJ12" s="466"/>
      <c r="DK12" s="466"/>
      <c r="DL12" s="166"/>
      <c r="DM12" s="140"/>
      <c r="DN12" s="140"/>
      <c r="DO12" s="536"/>
      <c r="DP12" s="536"/>
      <c r="DQ12" s="536"/>
      <c r="DR12" s="536"/>
      <c r="DS12" s="140"/>
      <c r="DT12" s="140"/>
    </row>
    <row r="13" spans="1:124" s="4" customFormat="1" ht="14.25" customHeight="1" x14ac:dyDescent="0.2">
      <c r="A13" s="90"/>
      <c r="B13" s="8"/>
      <c r="C13" s="8"/>
      <c r="D13" s="8"/>
      <c r="E13" s="8"/>
      <c r="F13" s="8"/>
      <c r="G13" s="8"/>
      <c r="H13" s="8"/>
      <c r="I13" s="8"/>
      <c r="J13" s="8"/>
      <c r="K13" s="8"/>
      <c r="L13" s="7"/>
      <c r="M13" s="8"/>
      <c r="N13" s="8"/>
      <c r="O13" s="8"/>
      <c r="P13" s="8"/>
      <c r="Q13" s="8"/>
      <c r="R13" s="8"/>
      <c r="S13" s="8"/>
      <c r="T13" s="8"/>
      <c r="U13" s="8"/>
      <c r="V13" s="8"/>
      <c r="W13" s="7"/>
      <c r="X13" s="8"/>
      <c r="Y13" s="8"/>
      <c r="Z13" s="8"/>
      <c r="AA13" s="7"/>
      <c r="AB13" s="30"/>
      <c r="AC13" s="30"/>
      <c r="AD13" s="30"/>
      <c r="AE13" s="8"/>
      <c r="AF13" s="8"/>
      <c r="AG13" s="8"/>
      <c r="AH13" s="23"/>
      <c r="AI13" s="8"/>
      <c r="AJ13" s="8"/>
      <c r="AK13" s="8"/>
      <c r="AL13" s="8"/>
      <c r="AM13" s="8"/>
      <c r="AN13" s="8"/>
      <c r="AO13" s="8"/>
      <c r="AP13" s="8"/>
      <c r="AQ13" s="8"/>
      <c r="AR13" s="8"/>
      <c r="AS13" s="7"/>
      <c r="AT13" s="8"/>
      <c r="AU13" s="8"/>
      <c r="AV13" s="8"/>
      <c r="AW13" s="8"/>
      <c r="AX13" s="8"/>
      <c r="AY13" s="8"/>
      <c r="AZ13" s="8"/>
      <c r="BA13" s="8"/>
      <c r="BB13" s="8"/>
      <c r="BC13" s="8"/>
      <c r="BD13" s="7"/>
      <c r="BE13" s="8"/>
      <c r="BF13" s="8"/>
      <c r="BG13" s="8"/>
      <c r="BH13" s="7"/>
      <c r="BI13" s="77"/>
      <c r="BJ13" s="30"/>
      <c r="BK13" s="30"/>
      <c r="BL13" s="31"/>
      <c r="BM13" s="8"/>
      <c r="BN13" s="89"/>
      <c r="BO13" s="118" t="s">
        <v>21</v>
      </c>
      <c r="BP13" s="375">
        <f>SUM(BP7:BR12)</f>
        <v>0</v>
      </c>
      <c r="BQ13" s="375"/>
      <c r="BR13" s="375"/>
      <c r="BS13" s="37"/>
      <c r="BT13" s="364">
        <f>SUM(BT7:BV12)</f>
        <v>0</v>
      </c>
      <c r="BU13" s="365"/>
      <c r="BV13" s="365"/>
      <c r="BX13" s="364">
        <f>SUM(BX7:BZ12)</f>
        <v>0</v>
      </c>
      <c r="BY13" s="365"/>
      <c r="BZ13" s="365"/>
      <c r="CA13" s="202"/>
      <c r="CF13" s="167"/>
      <c r="CG13" s="140"/>
      <c r="CH13" s="140"/>
      <c r="CI13" s="140"/>
      <c r="CJ13" s="140"/>
      <c r="CK13" s="140"/>
      <c r="CL13" s="140"/>
      <c r="CM13" s="140"/>
      <c r="CN13" s="140"/>
      <c r="CO13" s="140"/>
      <c r="CP13" s="140"/>
      <c r="CQ13" s="140"/>
      <c r="CR13" s="140"/>
      <c r="CS13" s="140"/>
      <c r="CT13" s="140"/>
      <c r="CU13" s="140"/>
      <c r="CV13" s="140"/>
      <c r="CW13" s="140"/>
      <c r="CX13" s="140"/>
      <c r="CY13" s="140"/>
      <c r="CZ13" s="140"/>
      <c r="DA13" s="140"/>
      <c r="DB13" s="140"/>
      <c r="DC13" s="140"/>
      <c r="DD13" s="140"/>
      <c r="DE13" s="140"/>
      <c r="DF13" s="140"/>
      <c r="DG13" s="140"/>
      <c r="DH13" s="140"/>
      <c r="DI13" s="140"/>
      <c r="DJ13" s="140"/>
      <c r="DK13" s="140"/>
      <c r="DL13" s="140"/>
      <c r="DM13" s="140"/>
      <c r="DN13" s="140"/>
      <c r="DO13" s="536"/>
      <c r="DP13" s="536"/>
      <c r="DQ13" s="536"/>
      <c r="DR13" s="536"/>
      <c r="DS13" s="140"/>
      <c r="DT13" s="140"/>
    </row>
    <row r="14" spans="1:124" s="4" customFormat="1" ht="13.5" customHeight="1" x14ac:dyDescent="0.2">
      <c r="A14" s="90"/>
      <c r="B14" s="8"/>
      <c r="C14" s="373" t="s">
        <v>67</v>
      </c>
      <c r="D14" s="373"/>
      <c r="E14" s="373"/>
      <c r="F14" s="7" t="s">
        <v>70</v>
      </c>
      <c r="G14" s="372">
        <f>試算表!CM43</f>
        <v>0</v>
      </c>
      <c r="H14" s="372"/>
      <c r="I14" s="372"/>
      <c r="J14" s="372"/>
      <c r="K14" s="8" t="s">
        <v>68</v>
      </c>
      <c r="L14" s="7" t="s">
        <v>69</v>
      </c>
      <c r="M14" s="374">
        <f>料率!E32</f>
        <v>430000</v>
      </c>
      <c r="N14" s="374"/>
      <c r="O14" s="374"/>
      <c r="P14" s="8" t="s">
        <v>68</v>
      </c>
      <c r="Q14" s="8" t="s">
        <v>74</v>
      </c>
      <c r="R14" s="399">
        <f>料率!B11</f>
        <v>7.7</v>
      </c>
      <c r="S14" s="399"/>
      <c r="T14" s="7" t="s">
        <v>71</v>
      </c>
      <c r="U14" s="373">
        <v>100</v>
      </c>
      <c r="V14" s="373"/>
      <c r="W14" s="7" t="s">
        <v>72</v>
      </c>
      <c r="X14" s="374">
        <f>IF(試算表!CN35=1,0,IF(G14-M14&lt;0,0,ROUNDDOWN((G14-M14)*R14/U14,0)))</f>
        <v>0</v>
      </c>
      <c r="Y14" s="374"/>
      <c r="Z14" s="374"/>
      <c r="AA14" s="7"/>
      <c r="AB14" s="7" t="s">
        <v>83</v>
      </c>
      <c r="AC14" s="372">
        <f>IF(試算表!CJ35=1,料率!F6,0)</f>
        <v>0</v>
      </c>
      <c r="AD14" s="372"/>
      <c r="AE14" s="372"/>
      <c r="AF14" s="8"/>
      <c r="AG14" s="8"/>
      <c r="AH14" s="23"/>
      <c r="AI14" s="8"/>
      <c r="AJ14" s="373" t="s">
        <v>67</v>
      </c>
      <c r="AK14" s="373"/>
      <c r="AL14" s="373"/>
      <c r="AM14" s="7" t="s">
        <v>70</v>
      </c>
      <c r="AN14" s="372">
        <f>IF(試算表!CK35=1,試算表!CM43,0)</f>
        <v>0</v>
      </c>
      <c r="AO14" s="372"/>
      <c r="AP14" s="372"/>
      <c r="AQ14" s="372"/>
      <c r="AR14" s="8" t="s">
        <v>68</v>
      </c>
      <c r="AS14" s="7" t="s">
        <v>69</v>
      </c>
      <c r="AT14" s="374">
        <f>料率!E32</f>
        <v>430000</v>
      </c>
      <c r="AU14" s="374"/>
      <c r="AV14" s="374"/>
      <c r="AW14" s="8" t="s">
        <v>68</v>
      </c>
      <c r="AX14" s="8" t="s">
        <v>74</v>
      </c>
      <c r="AY14" s="399">
        <f>料率!L6</f>
        <v>2.8</v>
      </c>
      <c r="AZ14" s="399"/>
      <c r="BA14" s="7" t="s">
        <v>71</v>
      </c>
      <c r="BB14" s="373">
        <v>100</v>
      </c>
      <c r="BC14" s="373"/>
      <c r="BD14" s="7" t="s">
        <v>72</v>
      </c>
      <c r="BE14" s="374">
        <f>IF(AN14-AT14&lt;0,0,ROUNDDOWN((AN14-AT14)*AY14/BB14,0))</f>
        <v>0</v>
      </c>
      <c r="BF14" s="374"/>
      <c r="BG14" s="374"/>
      <c r="BH14" s="41"/>
      <c r="BI14" s="7" t="s">
        <v>83</v>
      </c>
      <c r="BJ14" s="372">
        <f>IF(試算表!CK35=1,料率!P6,0)</f>
        <v>0</v>
      </c>
      <c r="BK14" s="372"/>
      <c r="BL14" s="372"/>
      <c r="BM14" s="77"/>
      <c r="BN14" s="89"/>
      <c r="BO14" s="119" t="s">
        <v>157</v>
      </c>
      <c r="BP14" s="6"/>
      <c r="BQ14" s="6"/>
      <c r="BR14" s="6"/>
      <c r="BS14" s="98"/>
      <c r="BT14" s="4" t="s">
        <v>136</v>
      </c>
      <c r="BU14" s="99"/>
      <c r="BV14" s="99"/>
      <c r="BW14" s="37"/>
      <c r="BX14" s="4" t="s">
        <v>136</v>
      </c>
      <c r="BY14" s="99"/>
      <c r="BZ14" s="99"/>
      <c r="CA14" s="203"/>
      <c r="CB14" s="4" t="s">
        <v>16</v>
      </c>
      <c r="CF14" s="140"/>
      <c r="CG14" s="150" t="s">
        <v>79</v>
      </c>
      <c r="CH14" s="140"/>
      <c r="CI14" s="140"/>
      <c r="CJ14" s="140"/>
      <c r="CK14" s="140"/>
      <c r="CL14" s="140"/>
      <c r="CM14" s="140"/>
      <c r="CN14" s="140"/>
      <c r="CO14" s="140"/>
      <c r="CP14" s="140"/>
      <c r="CQ14" s="140"/>
      <c r="CR14" s="140"/>
      <c r="CS14" s="140"/>
      <c r="CT14" s="140"/>
      <c r="CU14" s="140"/>
      <c r="CV14" s="140"/>
      <c r="CW14" s="140"/>
      <c r="CX14" s="140"/>
      <c r="CY14" s="140"/>
      <c r="CZ14" s="140"/>
      <c r="DA14" s="140"/>
      <c r="DB14" s="140"/>
      <c r="DC14" s="140"/>
      <c r="DD14" s="140"/>
      <c r="DE14" s="140"/>
      <c r="DF14" s="140"/>
      <c r="DG14" s="140"/>
      <c r="DH14" s="140"/>
      <c r="DI14" s="140"/>
      <c r="DJ14" s="140"/>
      <c r="DK14" s="140"/>
      <c r="DL14" s="140"/>
      <c r="DM14" s="140" t="str">
        <f>IF(試算シート!N18&gt;0,"あり",IF(試算シート!N19&gt;0,"あり",IF(CP10&gt;0,"あり","")))</f>
        <v/>
      </c>
      <c r="DN14" s="140"/>
      <c r="DO14" s="536"/>
      <c r="DP14" s="536"/>
      <c r="DQ14" s="536"/>
      <c r="DR14" s="536"/>
      <c r="DS14" s="140"/>
      <c r="DT14" s="140"/>
    </row>
    <row r="15" spans="1:124" s="4" customFormat="1" ht="12.75" customHeight="1" x14ac:dyDescent="0.2">
      <c r="A15" s="90"/>
      <c r="B15" s="8"/>
      <c r="C15" s="7"/>
      <c r="D15" s="7"/>
      <c r="E15" s="7"/>
      <c r="F15" s="7"/>
      <c r="G15" s="8"/>
      <c r="H15" s="8"/>
      <c r="I15" s="8"/>
      <c r="J15" s="8"/>
      <c r="K15" s="8"/>
      <c r="L15" s="8"/>
      <c r="M15" s="8"/>
      <c r="N15" s="8"/>
      <c r="O15" s="8"/>
      <c r="P15" s="8"/>
      <c r="Q15" s="8"/>
      <c r="R15" s="8"/>
      <c r="S15" s="8"/>
      <c r="T15" s="8"/>
      <c r="U15" s="8"/>
      <c r="V15" s="8"/>
      <c r="W15" s="7"/>
      <c r="X15" s="8"/>
      <c r="Y15" s="8"/>
      <c r="Z15" s="8"/>
      <c r="AA15" s="7"/>
      <c r="AB15" s="30"/>
      <c r="AC15" s="30"/>
      <c r="AD15" s="30"/>
      <c r="AE15" s="8"/>
      <c r="AF15" s="8"/>
      <c r="AG15" s="8"/>
      <c r="AH15" s="23"/>
      <c r="AI15" s="8"/>
      <c r="AJ15" s="7"/>
      <c r="AK15" s="7"/>
      <c r="AL15" s="7"/>
      <c r="AM15" s="7"/>
      <c r="AN15" s="8"/>
      <c r="AO15" s="8"/>
      <c r="AP15" s="8"/>
      <c r="AQ15" s="8"/>
      <c r="AR15" s="8"/>
      <c r="AS15" s="8"/>
      <c r="AT15" s="8"/>
      <c r="AU15" s="8"/>
      <c r="AV15" s="8"/>
      <c r="AW15" s="8"/>
      <c r="AX15" s="8"/>
      <c r="AY15" s="8"/>
      <c r="AZ15" s="8"/>
      <c r="BA15" s="8"/>
      <c r="BB15" s="8"/>
      <c r="BC15" s="8"/>
      <c r="BD15" s="7"/>
      <c r="BE15" s="8"/>
      <c r="BF15" s="8"/>
      <c r="BG15" s="8"/>
      <c r="BH15" s="7"/>
      <c r="BI15" s="78"/>
      <c r="BJ15" s="30"/>
      <c r="BK15" s="30"/>
      <c r="BL15" s="31"/>
      <c r="BM15" s="8"/>
      <c r="BN15" s="89"/>
      <c r="BO15" s="117" t="s">
        <v>150</v>
      </c>
      <c r="BP15" s="375">
        <f>IF(試算表!CJ34=1,IF(試算表!CN34=1,IF(AB4="２割軽減",料率!Z11-BT15,IF(AB4="７割軽減",料率!Z6,IF(AB4="５割軽減",料率!Z6,料率!Z11))),料率!Z6),0)</f>
        <v>0</v>
      </c>
      <c r="BQ15" s="375"/>
      <c r="BR15" s="375"/>
      <c r="BS15" s="37"/>
      <c r="BT15" s="364">
        <f>IF(試算表!CJ9=試算表!CG15,IF(試算表!AB4="７割軽減",料率!B24,IF(試算表!AB4="５割軽減",料率!F24,IF(試算表!AB4="２割軽減",料率!J24,0))),0)</f>
        <v>0</v>
      </c>
      <c r="BU15" s="364"/>
      <c r="BV15" s="364"/>
      <c r="BW15" s="37"/>
      <c r="BX15" s="364">
        <f>IF(試算シート!$I$16="未就学児",-ROUNDUP((試算表!BP15+試算表!BT15)/2,0),0)</f>
        <v>0</v>
      </c>
      <c r="BY15" s="364"/>
      <c r="BZ15" s="364"/>
      <c r="CA15" s="204"/>
      <c r="CB15" s="381">
        <f>IF(AB6="平等割＋均等割半額",料率!AC11,AC56)</f>
        <v>7400</v>
      </c>
      <c r="CC15" s="382"/>
      <c r="CD15" s="382"/>
      <c r="CF15" s="140"/>
      <c r="CG15" s="483" t="s">
        <v>79</v>
      </c>
      <c r="CH15" s="483"/>
      <c r="CI15" s="483"/>
      <c r="CJ15" s="483"/>
      <c r="CK15" s="483"/>
      <c r="CL15" s="483"/>
      <c r="CM15" s="140"/>
      <c r="CN15" s="140"/>
      <c r="CO15" s="140"/>
      <c r="CP15" s="140"/>
      <c r="CQ15" s="140"/>
      <c r="CR15" s="140"/>
      <c r="CS15" s="140"/>
      <c r="CT15" s="140"/>
      <c r="CU15" s="140"/>
      <c r="CV15" s="140"/>
      <c r="CW15" s="140"/>
      <c r="CX15" s="140"/>
      <c r="CY15" s="140"/>
      <c r="CZ15" s="140"/>
      <c r="DA15" s="140"/>
      <c r="DB15" s="140"/>
      <c r="DC15" s="140"/>
      <c r="DD15" s="140"/>
      <c r="DE15" s="140"/>
      <c r="DF15" s="140"/>
      <c r="DG15" s="140"/>
      <c r="DH15" s="140"/>
      <c r="DI15" s="140"/>
      <c r="DJ15" s="140"/>
      <c r="DK15" s="140"/>
      <c r="DL15" s="140"/>
      <c r="DM15" s="140"/>
      <c r="DN15" s="140"/>
      <c r="DO15" s="536"/>
      <c r="DP15" s="536"/>
      <c r="DQ15" s="536"/>
      <c r="DR15" s="536"/>
      <c r="DS15" s="140"/>
      <c r="DT15" s="140"/>
    </row>
    <row r="16" spans="1:124" s="4" customFormat="1" x14ac:dyDescent="0.2">
      <c r="A16" s="90"/>
      <c r="B16" s="8"/>
      <c r="C16" s="373" t="s">
        <v>76</v>
      </c>
      <c r="D16" s="373"/>
      <c r="E16" s="373"/>
      <c r="F16" s="7" t="s">
        <v>70</v>
      </c>
      <c r="G16" s="372">
        <f>試算表!CM44</f>
        <v>0</v>
      </c>
      <c r="H16" s="372"/>
      <c r="I16" s="372"/>
      <c r="J16" s="372"/>
      <c r="K16" s="8" t="s">
        <v>68</v>
      </c>
      <c r="L16" s="7" t="s">
        <v>69</v>
      </c>
      <c r="M16" s="374">
        <f>料率!E32</f>
        <v>430000</v>
      </c>
      <c r="N16" s="374"/>
      <c r="O16" s="374"/>
      <c r="P16" s="8" t="s">
        <v>68</v>
      </c>
      <c r="Q16" s="8" t="s">
        <v>74</v>
      </c>
      <c r="R16" s="399">
        <f>料率!B11</f>
        <v>7.7</v>
      </c>
      <c r="S16" s="399"/>
      <c r="T16" s="7" t="s">
        <v>71</v>
      </c>
      <c r="U16" s="373">
        <v>100</v>
      </c>
      <c r="V16" s="373"/>
      <c r="W16" s="7" t="s">
        <v>72</v>
      </c>
      <c r="X16" s="374">
        <f>IF(試算表!CN36=1,0,IF(G16-M16&lt;0,0,ROUNDDOWN((G16-M16)*R16/U16,0)))</f>
        <v>0</v>
      </c>
      <c r="Y16" s="374"/>
      <c r="Z16" s="374"/>
      <c r="AA16" s="7"/>
      <c r="AB16" s="7" t="s">
        <v>84</v>
      </c>
      <c r="AC16" s="372">
        <f>IF(試算表!CJ36=1,料率!F6,0)</f>
        <v>0</v>
      </c>
      <c r="AD16" s="372"/>
      <c r="AE16" s="372"/>
      <c r="AF16" s="8"/>
      <c r="AG16" s="8"/>
      <c r="AH16" s="23"/>
      <c r="AI16" s="8"/>
      <c r="AJ16" s="373" t="s">
        <v>76</v>
      </c>
      <c r="AK16" s="373"/>
      <c r="AL16" s="373"/>
      <c r="AM16" s="7" t="s">
        <v>70</v>
      </c>
      <c r="AN16" s="372">
        <f>IF(試算表!CK36=1,試算表!CM44,0)</f>
        <v>0</v>
      </c>
      <c r="AO16" s="372"/>
      <c r="AP16" s="372"/>
      <c r="AQ16" s="372"/>
      <c r="AR16" s="8" t="s">
        <v>68</v>
      </c>
      <c r="AS16" s="7" t="s">
        <v>69</v>
      </c>
      <c r="AT16" s="374">
        <f>料率!E32</f>
        <v>430000</v>
      </c>
      <c r="AU16" s="374"/>
      <c r="AV16" s="374"/>
      <c r="AW16" s="8" t="s">
        <v>68</v>
      </c>
      <c r="AX16" s="8" t="s">
        <v>74</v>
      </c>
      <c r="AY16" s="399">
        <f>料率!L6</f>
        <v>2.8</v>
      </c>
      <c r="AZ16" s="399"/>
      <c r="BA16" s="7" t="s">
        <v>71</v>
      </c>
      <c r="BB16" s="373">
        <v>100</v>
      </c>
      <c r="BC16" s="373"/>
      <c r="BD16" s="7" t="s">
        <v>72</v>
      </c>
      <c r="BE16" s="374">
        <f>IF(AN16-AT16&lt;0,0,ROUNDDOWN((AN16-AT16)*AY16/BB16,0))</f>
        <v>0</v>
      </c>
      <c r="BF16" s="374"/>
      <c r="BG16" s="374"/>
      <c r="BH16" s="7"/>
      <c r="BI16" s="7" t="s">
        <v>84</v>
      </c>
      <c r="BJ16" s="372">
        <f>IF(試算表!CK36=1,料率!P6,0)</f>
        <v>0</v>
      </c>
      <c r="BK16" s="372"/>
      <c r="BL16" s="372"/>
      <c r="BM16" s="8"/>
      <c r="BN16" s="89"/>
      <c r="BO16" s="117" t="s">
        <v>152</v>
      </c>
      <c r="BP16" s="458">
        <f>IF(試算表!CJ35=1,IF(試算表!CN35=1,IF(AB4="２割軽減",料率!Z11-BT16,IF(AB4="７割軽減",料率!Z6,IF(AB4="５割軽減",料率!Z6,料率!Z11))),料率!Z6),0)</f>
        <v>0</v>
      </c>
      <c r="BQ16" s="459"/>
      <c r="BR16" s="460"/>
      <c r="BS16" s="37"/>
      <c r="BT16" s="364">
        <f>IF(試算表!CP9=試算表!CG21,IF(試算表!AB4="７割軽減",料率!B24,IF(試算表!AB4="５割軽減",料率!F24,IF(試算表!AB4="２割軽減",料率!J24,0))),0)</f>
        <v>0</v>
      </c>
      <c r="BU16" s="364"/>
      <c r="BV16" s="364"/>
      <c r="BW16" s="37"/>
      <c r="BX16" s="364">
        <f>IF(試算シート!$N$16="未就学児",-ROUNDUP((試算表!BP16+試算表!BT16)/2,0),0)</f>
        <v>0</v>
      </c>
      <c r="BY16" s="364"/>
      <c r="BZ16" s="364"/>
      <c r="CA16" s="201"/>
      <c r="CB16" s="4" t="s">
        <v>136</v>
      </c>
      <c r="CF16" s="140"/>
      <c r="CG16" s="483" t="s">
        <v>80</v>
      </c>
      <c r="CH16" s="483"/>
      <c r="CI16" s="483"/>
      <c r="CJ16" s="483"/>
      <c r="CK16" s="483"/>
      <c r="CL16" s="483"/>
      <c r="CM16" s="140"/>
      <c r="CN16" s="140"/>
      <c r="CO16" s="140"/>
      <c r="CP16" s="140"/>
      <c r="CQ16" s="140"/>
      <c r="CR16" s="140"/>
      <c r="CS16" s="140"/>
      <c r="CT16" s="140"/>
      <c r="CU16" s="140"/>
      <c r="CV16" s="140"/>
      <c r="CW16" s="140"/>
      <c r="CX16" s="140"/>
      <c r="CY16" s="140"/>
      <c r="CZ16" s="140"/>
      <c r="DA16" s="140"/>
      <c r="DB16" s="140"/>
      <c r="DC16" s="140"/>
      <c r="DD16" s="140"/>
      <c r="DE16" s="140"/>
      <c r="DF16" s="140"/>
      <c r="DG16" s="140"/>
      <c r="DH16" s="140"/>
      <c r="DI16" s="140"/>
      <c r="DJ16" s="140"/>
      <c r="DK16" s="140"/>
      <c r="DL16" s="140"/>
      <c r="DM16" s="140"/>
      <c r="DN16" s="140"/>
      <c r="DO16" s="555">
        <f>SUM(DO12:DO15)</f>
        <v>0</v>
      </c>
      <c r="DP16" s="555"/>
      <c r="DQ16" s="555"/>
      <c r="DR16" s="555"/>
      <c r="DS16" s="140"/>
      <c r="DT16" s="140"/>
    </row>
    <row r="17" spans="1:124" s="4" customFormat="1" x14ac:dyDescent="0.2">
      <c r="A17" s="90"/>
      <c r="B17" s="8"/>
      <c r="C17" s="8"/>
      <c r="D17" s="8"/>
      <c r="E17" s="8"/>
      <c r="F17" s="8"/>
      <c r="G17" s="8"/>
      <c r="H17" s="8"/>
      <c r="I17" s="8"/>
      <c r="J17" s="8"/>
      <c r="K17" s="8"/>
      <c r="L17" s="8"/>
      <c r="M17" s="8"/>
      <c r="N17" s="8"/>
      <c r="O17" s="8"/>
      <c r="P17" s="8"/>
      <c r="Q17" s="8"/>
      <c r="R17" s="8"/>
      <c r="S17" s="8"/>
      <c r="T17" s="8"/>
      <c r="U17" s="8"/>
      <c r="V17" s="8"/>
      <c r="W17" s="7"/>
      <c r="X17" s="8"/>
      <c r="Y17" s="8"/>
      <c r="Z17" s="8"/>
      <c r="AA17" s="7"/>
      <c r="AB17" s="30"/>
      <c r="AC17" s="30"/>
      <c r="AD17" s="30"/>
      <c r="AE17" s="8"/>
      <c r="AF17" s="8"/>
      <c r="AG17" s="8"/>
      <c r="AH17" s="23"/>
      <c r="AI17" s="8"/>
      <c r="AJ17" s="8"/>
      <c r="AK17" s="8"/>
      <c r="AL17" s="8"/>
      <c r="AM17" s="8"/>
      <c r="AN17" s="8"/>
      <c r="AO17" s="8"/>
      <c r="AP17" s="8"/>
      <c r="AQ17" s="8"/>
      <c r="AR17" s="8"/>
      <c r="AS17" s="8"/>
      <c r="AT17" s="8"/>
      <c r="AU17" s="8"/>
      <c r="AV17" s="8"/>
      <c r="AW17" s="8"/>
      <c r="AX17" s="8"/>
      <c r="AY17" s="8"/>
      <c r="AZ17" s="8"/>
      <c r="BA17" s="8"/>
      <c r="BB17" s="8"/>
      <c r="BC17" s="8"/>
      <c r="BD17" s="7"/>
      <c r="BE17" s="8"/>
      <c r="BF17" s="8"/>
      <c r="BG17" s="8"/>
      <c r="BH17" s="7"/>
      <c r="BI17" s="30"/>
      <c r="BJ17" s="30"/>
      <c r="BK17" s="30"/>
      <c r="BL17" s="31"/>
      <c r="BM17" s="8"/>
      <c r="BN17" s="89"/>
      <c r="BO17" s="117" t="s">
        <v>151</v>
      </c>
      <c r="BP17" s="375">
        <f>IF(試算表!CJ36=1,IF(試算表!CN36=1,IF(AB4="２割軽減",料率!Z11-BT17,IF(AB4="７割軽減",料率!Z6,IF(AB4="５割軽減",料率!Z6,料率!Z11))),料率!Z6),0)</f>
        <v>0</v>
      </c>
      <c r="BQ17" s="375"/>
      <c r="BR17" s="375"/>
      <c r="BS17" s="37"/>
      <c r="BT17" s="364">
        <f>IF(試算表!CU9=試算表!CG21,IF(試算表!AB4="７割軽減",料率!B24,IF(試算表!AB4="５割軽減",料率!F24,IF(試算表!AB4="２割軽減",料率!J24,0))),0)</f>
        <v>0</v>
      </c>
      <c r="BU17" s="364"/>
      <c r="BV17" s="364"/>
      <c r="BX17" s="364">
        <f>IF(試算シート!$R$16="未就学児",-ROUNDUP((試算表!BP17+試算表!BT17)/2,0),0)</f>
        <v>0</v>
      </c>
      <c r="BY17" s="364"/>
      <c r="BZ17" s="364"/>
      <c r="CA17" s="204"/>
      <c r="CB17" s="364">
        <f>IF(AB6="平等割半額",IF(試算表!AB4="７割軽減",料率!O24,IF(試算表!AB4="５割軽減",料率!Q24,IF(試算表!AB4="２割軽減",料率!S24,0))),IF(AB6="平等割＋均等割半額",0,IF(試算表!AB4="７割軽減",料率!D24,IF(試算表!AB4="５割軽減",料率!H24,IF(試算表!AB4="２割軽減",料率!L24,0)))))</f>
        <v>-5180</v>
      </c>
      <c r="CC17" s="364"/>
      <c r="CD17" s="364"/>
      <c r="CF17" s="140"/>
      <c r="CG17" s="168" t="s">
        <v>141</v>
      </c>
      <c r="CH17" s="168"/>
      <c r="CI17" s="168"/>
      <c r="CJ17" s="168"/>
      <c r="CK17" s="168"/>
      <c r="CL17" s="168"/>
      <c r="CM17" s="140" t="s">
        <v>143</v>
      </c>
      <c r="CN17" s="140"/>
      <c r="CO17" s="140"/>
      <c r="CP17" s="140"/>
      <c r="CQ17" s="140"/>
      <c r="CR17" s="140"/>
      <c r="CS17" s="140"/>
      <c r="CT17" s="140"/>
      <c r="CU17" s="140"/>
      <c r="CV17" s="140"/>
      <c r="CW17" s="140"/>
      <c r="CX17" s="140"/>
      <c r="CY17" s="140"/>
      <c r="CZ17" s="140"/>
      <c r="DA17" s="140"/>
      <c r="DB17" s="140"/>
      <c r="DC17" s="140"/>
      <c r="DD17" s="140"/>
      <c r="DE17" s="140"/>
      <c r="DF17" s="140"/>
      <c r="DG17" s="140"/>
      <c r="DH17" s="140"/>
      <c r="DI17" s="140"/>
      <c r="DJ17" s="140"/>
      <c r="DK17" s="140"/>
      <c r="DL17" s="140"/>
      <c r="DM17" s="140"/>
      <c r="DN17" s="140"/>
      <c r="DO17" s="529" t="str">
        <f>_xlfn.IFS(DO9=$CG$24,"",DO12&gt;0,"あり",DO13&gt;0,"あり",DO14&gt;0,"あり",SUM(DO12:DR14)=0,"")</f>
        <v/>
      </c>
      <c r="DP17" s="529"/>
      <c r="DQ17" s="529"/>
      <c r="DR17" s="529"/>
      <c r="DS17" s="140"/>
      <c r="DT17" s="140"/>
    </row>
    <row r="18" spans="1:124" s="4" customFormat="1" x14ac:dyDescent="0.2">
      <c r="A18" s="90"/>
      <c r="B18" s="8"/>
      <c r="C18" s="373" t="s">
        <v>77</v>
      </c>
      <c r="D18" s="373"/>
      <c r="E18" s="373"/>
      <c r="F18" s="7" t="s">
        <v>70</v>
      </c>
      <c r="G18" s="372">
        <f>試算表!CM45</f>
        <v>0</v>
      </c>
      <c r="H18" s="372"/>
      <c r="I18" s="372"/>
      <c r="J18" s="372"/>
      <c r="K18" s="8" t="s">
        <v>68</v>
      </c>
      <c r="L18" s="7" t="s">
        <v>69</v>
      </c>
      <c r="M18" s="374">
        <f>料率!E32</f>
        <v>430000</v>
      </c>
      <c r="N18" s="374"/>
      <c r="O18" s="374"/>
      <c r="P18" s="8" t="s">
        <v>68</v>
      </c>
      <c r="Q18" s="8" t="s">
        <v>74</v>
      </c>
      <c r="R18" s="399">
        <f>料率!B11</f>
        <v>7.7</v>
      </c>
      <c r="S18" s="399"/>
      <c r="T18" s="7" t="s">
        <v>71</v>
      </c>
      <c r="U18" s="373">
        <v>100</v>
      </c>
      <c r="V18" s="373"/>
      <c r="W18" s="7" t="s">
        <v>72</v>
      </c>
      <c r="X18" s="374">
        <f>IF(試算表!CN37=1,0,IF(G18-M18&lt;0,0,ROUNDDOWN((G18-M18)*R18/U18,0)))</f>
        <v>0</v>
      </c>
      <c r="Y18" s="374"/>
      <c r="Z18" s="374"/>
      <c r="AA18" s="7"/>
      <c r="AB18" s="7" t="s">
        <v>85</v>
      </c>
      <c r="AC18" s="372">
        <f>IF(試算表!CJ37=1,料率!F6,0)</f>
        <v>0</v>
      </c>
      <c r="AD18" s="372"/>
      <c r="AE18" s="372"/>
      <c r="AF18" s="8"/>
      <c r="AG18" s="8"/>
      <c r="AH18" s="23"/>
      <c r="AI18" s="8"/>
      <c r="AJ18" s="373" t="s">
        <v>77</v>
      </c>
      <c r="AK18" s="373"/>
      <c r="AL18" s="373"/>
      <c r="AM18" s="7" t="s">
        <v>70</v>
      </c>
      <c r="AN18" s="372">
        <f>IF(試算表!CK37=1,試算表!CM45,0)</f>
        <v>0</v>
      </c>
      <c r="AO18" s="372"/>
      <c r="AP18" s="372"/>
      <c r="AQ18" s="372"/>
      <c r="AR18" s="8" t="s">
        <v>68</v>
      </c>
      <c r="AS18" s="7" t="s">
        <v>69</v>
      </c>
      <c r="AT18" s="374">
        <f>料率!E32</f>
        <v>430000</v>
      </c>
      <c r="AU18" s="374"/>
      <c r="AV18" s="374"/>
      <c r="AW18" s="8" t="s">
        <v>68</v>
      </c>
      <c r="AX18" s="8" t="s">
        <v>74</v>
      </c>
      <c r="AY18" s="399">
        <f>料率!L6</f>
        <v>2.8</v>
      </c>
      <c r="AZ18" s="399"/>
      <c r="BA18" s="7" t="s">
        <v>71</v>
      </c>
      <c r="BB18" s="373">
        <v>100</v>
      </c>
      <c r="BC18" s="373"/>
      <c r="BD18" s="7" t="s">
        <v>72</v>
      </c>
      <c r="BE18" s="374">
        <f>IF(AN18-AT18&lt;0,0,ROUNDDOWN((AN18-AT18)*AY18/BB18,0))</f>
        <v>0</v>
      </c>
      <c r="BF18" s="374"/>
      <c r="BG18" s="374"/>
      <c r="BH18" s="7"/>
      <c r="BI18" s="7" t="s">
        <v>85</v>
      </c>
      <c r="BJ18" s="372">
        <f>IF(試算表!CK37=1,料率!P6,0)</f>
        <v>0</v>
      </c>
      <c r="BK18" s="372"/>
      <c r="BL18" s="372"/>
      <c r="BM18" s="8"/>
      <c r="BN18" s="89"/>
      <c r="BO18" s="117" t="s">
        <v>153</v>
      </c>
      <c r="BP18" s="375">
        <f>IF(試算表!CJ37=1,IF(試算表!CN37=1,IF(AB4="２割軽減",料率!Z11-BT18,IF(AB4="７割軽減",料率!Z6,IF(AB4="５割軽減",料率!Z6,料率!Z11))),料率!Z6),0)</f>
        <v>0</v>
      </c>
      <c r="BQ18" s="375"/>
      <c r="BR18" s="375"/>
      <c r="BS18" s="37"/>
      <c r="BT18" s="364">
        <f>IF(試算表!CZ9=試算表!CG21,IF(試算表!AB4="７割軽減",料率!B24,IF(試算表!AB4="５割軽減",料率!F24,IF(試算表!AB4="２割軽減",料率!J24,0))),0)</f>
        <v>0</v>
      </c>
      <c r="BU18" s="364"/>
      <c r="BV18" s="364"/>
      <c r="BX18" s="364">
        <f>IF(試算シート!$V$16="未就学児",-ROUNDUP((試算表!BP18+試算表!BT18)/2,0),0)</f>
        <v>0</v>
      </c>
      <c r="BY18" s="364"/>
      <c r="BZ18" s="364"/>
      <c r="CA18" s="201"/>
      <c r="CF18" s="140"/>
      <c r="CG18" s="169" t="s">
        <v>142</v>
      </c>
      <c r="CH18" s="169"/>
      <c r="CI18" s="169"/>
      <c r="CJ18" s="169"/>
      <c r="CK18" s="169"/>
      <c r="CL18" s="169"/>
      <c r="CM18" s="140" t="s">
        <v>140</v>
      </c>
      <c r="CN18" s="140"/>
      <c r="CO18" s="140"/>
      <c r="CP18" s="140"/>
      <c r="CQ18" s="140"/>
      <c r="CR18" s="140"/>
      <c r="CS18" s="140"/>
      <c r="CT18" s="140"/>
      <c r="CU18" s="140"/>
      <c r="CV18" s="140"/>
      <c r="CW18" s="140"/>
      <c r="CX18" s="140"/>
      <c r="CY18" s="140"/>
      <c r="CZ18" s="140"/>
      <c r="DA18" s="140"/>
      <c r="DB18" s="140"/>
      <c r="DC18" s="140"/>
      <c r="DD18" s="140"/>
      <c r="DE18" s="140"/>
      <c r="DF18" s="140"/>
      <c r="DG18" s="140"/>
      <c r="DH18" s="140"/>
      <c r="DI18" s="140"/>
      <c r="DJ18" s="140"/>
      <c r="DK18" s="140"/>
      <c r="DL18" s="140"/>
      <c r="DM18" s="140"/>
      <c r="DN18" s="140"/>
      <c r="DO18" s="467" t="str">
        <f>IF(DO10=CG31,IF(DO13&gt;0,"年金の入力場所が違うよ、ただし、当該年の１月１日が６４歳であればそのままでOK！",""),IF(DO10=CG30,IF(DO14&gt;0,"年金の入力場所が違うよ",""),""))</f>
        <v/>
      </c>
      <c r="DP18" s="467"/>
      <c r="DQ18" s="467"/>
      <c r="DR18" s="467"/>
      <c r="DS18" s="140"/>
      <c r="DT18" s="140"/>
    </row>
    <row r="19" spans="1:124" s="4" customFormat="1" x14ac:dyDescent="0.2">
      <c r="A19" s="90"/>
      <c r="B19" s="8"/>
      <c r="C19" s="8"/>
      <c r="D19" s="8"/>
      <c r="E19" s="8"/>
      <c r="F19" s="8"/>
      <c r="G19" s="8"/>
      <c r="H19" s="8"/>
      <c r="I19" s="8"/>
      <c r="J19" s="8"/>
      <c r="K19" s="8"/>
      <c r="L19" s="8"/>
      <c r="M19" s="8"/>
      <c r="N19" s="8"/>
      <c r="O19" s="8"/>
      <c r="P19" s="8"/>
      <c r="Q19" s="8"/>
      <c r="R19" s="8"/>
      <c r="S19" s="8"/>
      <c r="T19" s="8"/>
      <c r="U19" s="8"/>
      <c r="V19" s="8"/>
      <c r="W19" s="7"/>
      <c r="X19" s="8"/>
      <c r="Y19" s="8"/>
      <c r="Z19" s="8"/>
      <c r="AA19" s="7"/>
      <c r="AB19" s="30"/>
      <c r="AC19" s="30"/>
      <c r="AD19" s="30"/>
      <c r="AE19" s="8"/>
      <c r="AF19" s="8"/>
      <c r="AG19" s="8"/>
      <c r="AH19" s="23"/>
      <c r="AI19" s="8"/>
      <c r="AJ19" s="8"/>
      <c r="AK19" s="8"/>
      <c r="AL19" s="8"/>
      <c r="AM19" s="8"/>
      <c r="AN19" s="8"/>
      <c r="AO19" s="8"/>
      <c r="AP19" s="8"/>
      <c r="AQ19" s="8"/>
      <c r="AR19" s="8"/>
      <c r="AS19" s="8"/>
      <c r="AT19" s="8"/>
      <c r="AU19" s="8"/>
      <c r="AV19" s="8"/>
      <c r="AW19" s="8"/>
      <c r="AX19" s="8"/>
      <c r="AY19" s="8"/>
      <c r="AZ19" s="8"/>
      <c r="BA19" s="8"/>
      <c r="BB19" s="8"/>
      <c r="BC19" s="8"/>
      <c r="BD19" s="7"/>
      <c r="BE19" s="8"/>
      <c r="BF19" s="8"/>
      <c r="BG19" s="8"/>
      <c r="BH19" s="7"/>
      <c r="BI19" s="30"/>
      <c r="BJ19" s="30"/>
      <c r="BK19" s="30"/>
      <c r="BL19" s="31"/>
      <c r="BM19" s="8"/>
      <c r="BN19" s="89"/>
      <c r="BO19" s="117" t="s">
        <v>154</v>
      </c>
      <c r="BP19" s="375">
        <f>IF(試算表!CJ38=1,IF(試算表!CN38=1,IF(AB4="２割軽減",料率!Z11-BT19,IF(AB4="７割軽減",料率!Z6,IF(AB4="５割軽減",料率!Z6,料率!Z11))),料率!Z6),0)</f>
        <v>0</v>
      </c>
      <c r="BQ19" s="375"/>
      <c r="BR19" s="375"/>
      <c r="BS19" s="37"/>
      <c r="BT19" s="364">
        <f>IF(試算表!DE9=試算表!CG21,IF(試算表!AB4="７割軽減",料率!B24,IF(試算表!AB4="５割軽減",料率!F24,IF(試算表!AB4="２割軽減",料率!J24,0))),0)</f>
        <v>0</v>
      </c>
      <c r="BU19" s="364"/>
      <c r="BV19" s="364"/>
      <c r="BX19" s="364">
        <f>IF(試算シート!$Z$16="未就学児",-ROUNDUP((試算表!BP19+試算表!BT19)/2,0),0)</f>
        <v>0</v>
      </c>
      <c r="BY19" s="364"/>
      <c r="BZ19" s="364"/>
      <c r="CA19" s="201"/>
      <c r="CF19" s="140"/>
      <c r="CG19" s="153"/>
      <c r="CH19" s="153"/>
      <c r="CI19" s="153"/>
      <c r="CJ19" s="153"/>
      <c r="CK19" s="153"/>
      <c r="CL19" s="153"/>
      <c r="CM19" s="140"/>
      <c r="CN19" s="140"/>
      <c r="CO19" s="140"/>
      <c r="CP19" s="140"/>
      <c r="CQ19" s="140"/>
      <c r="CR19" s="140"/>
      <c r="CS19" s="140"/>
      <c r="CT19" s="140"/>
      <c r="CU19" s="140"/>
      <c r="CV19" s="140"/>
      <c r="CW19" s="140"/>
      <c r="CX19" s="140"/>
      <c r="CY19" s="140"/>
      <c r="CZ19" s="140"/>
      <c r="DA19" s="140"/>
      <c r="DB19" s="140"/>
      <c r="DC19" s="140"/>
      <c r="DD19" s="140"/>
      <c r="DE19" s="140"/>
      <c r="DF19" s="140"/>
      <c r="DG19" s="140"/>
      <c r="DH19" s="140"/>
      <c r="DI19" s="140"/>
      <c r="DJ19" s="140"/>
      <c r="DK19" s="140"/>
      <c r="DL19" s="140"/>
      <c r="DM19" s="140"/>
      <c r="DN19" s="140"/>
      <c r="DO19" s="140"/>
      <c r="DP19" s="140"/>
      <c r="DQ19" s="140"/>
      <c r="DR19" s="140"/>
      <c r="DS19" s="140"/>
      <c r="DT19" s="140"/>
    </row>
    <row r="20" spans="1:124" s="4" customFormat="1" ht="18" thickBot="1" x14ac:dyDescent="0.25">
      <c r="A20" s="90"/>
      <c r="B20" s="8"/>
      <c r="C20" s="373" t="s">
        <v>78</v>
      </c>
      <c r="D20" s="373"/>
      <c r="E20" s="373"/>
      <c r="F20" s="7" t="s">
        <v>70</v>
      </c>
      <c r="G20" s="372">
        <f>試算表!CM46</f>
        <v>0</v>
      </c>
      <c r="H20" s="372"/>
      <c r="I20" s="372"/>
      <c r="J20" s="372"/>
      <c r="K20" s="8" t="s">
        <v>68</v>
      </c>
      <c r="L20" s="7" t="s">
        <v>69</v>
      </c>
      <c r="M20" s="374">
        <f>料率!E32</f>
        <v>430000</v>
      </c>
      <c r="N20" s="374"/>
      <c r="O20" s="374"/>
      <c r="P20" s="8" t="s">
        <v>68</v>
      </c>
      <c r="Q20" s="8" t="s">
        <v>74</v>
      </c>
      <c r="R20" s="399">
        <f>料率!B11</f>
        <v>7.7</v>
      </c>
      <c r="S20" s="399"/>
      <c r="T20" s="7" t="s">
        <v>71</v>
      </c>
      <c r="U20" s="373">
        <v>100</v>
      </c>
      <c r="V20" s="373"/>
      <c r="W20" s="7" t="s">
        <v>72</v>
      </c>
      <c r="X20" s="374">
        <f>IF(試算表!CN38=1,0,IF(G20-M20&lt;0,0,ROUNDDOWN((G20-M20)*R20/U20,0)))</f>
        <v>0</v>
      </c>
      <c r="Y20" s="374"/>
      <c r="Z20" s="374"/>
      <c r="AA20" s="7"/>
      <c r="AB20" s="7" t="s">
        <v>86</v>
      </c>
      <c r="AC20" s="372">
        <f>IF(試算表!CJ38=1,料率!F6,0)</f>
        <v>0</v>
      </c>
      <c r="AD20" s="372"/>
      <c r="AE20" s="372"/>
      <c r="AF20" s="8"/>
      <c r="AG20" s="8"/>
      <c r="AH20" s="23"/>
      <c r="AI20" s="8"/>
      <c r="AJ20" s="373" t="s">
        <v>78</v>
      </c>
      <c r="AK20" s="373"/>
      <c r="AL20" s="373"/>
      <c r="AM20" s="7" t="s">
        <v>70</v>
      </c>
      <c r="AN20" s="372">
        <f>IF(試算表!CK38=1,試算表!CM46,0)</f>
        <v>0</v>
      </c>
      <c r="AO20" s="372"/>
      <c r="AP20" s="372"/>
      <c r="AQ20" s="372"/>
      <c r="AR20" s="8" t="s">
        <v>68</v>
      </c>
      <c r="AS20" s="7" t="s">
        <v>69</v>
      </c>
      <c r="AT20" s="374">
        <f>料率!E32</f>
        <v>430000</v>
      </c>
      <c r="AU20" s="374"/>
      <c r="AV20" s="374"/>
      <c r="AW20" s="8" t="s">
        <v>68</v>
      </c>
      <c r="AX20" s="8" t="s">
        <v>74</v>
      </c>
      <c r="AY20" s="399">
        <f>料率!L6</f>
        <v>2.8</v>
      </c>
      <c r="AZ20" s="399"/>
      <c r="BA20" s="7" t="s">
        <v>71</v>
      </c>
      <c r="BB20" s="373">
        <v>100</v>
      </c>
      <c r="BC20" s="373"/>
      <c r="BD20" s="7" t="s">
        <v>72</v>
      </c>
      <c r="BE20" s="374">
        <f>IF(AN20-AT20&lt;0,0,ROUNDDOWN((AN20-AT20)*AY20/BB20,0))</f>
        <v>0</v>
      </c>
      <c r="BF20" s="374"/>
      <c r="BG20" s="374"/>
      <c r="BH20" s="7"/>
      <c r="BI20" s="7" t="s">
        <v>86</v>
      </c>
      <c r="BJ20" s="372">
        <f>IF(試算表!CK38=1,料率!P6,0)</f>
        <v>0</v>
      </c>
      <c r="BK20" s="372"/>
      <c r="BL20" s="372"/>
      <c r="BM20" s="8"/>
      <c r="BN20" s="89"/>
      <c r="BO20" s="117" t="s">
        <v>155</v>
      </c>
      <c r="BP20" s="375">
        <f>IF(試算表!CJ39=1,IF(試算表!CN39=1,IF(AB4="２割軽減",料率!Z11-BT20,IF(AB4="７割軽減",料率!Z6,IF(AB4="５割軽減",料率!Z6,料率!Z11))),料率!Z6),0)</f>
        <v>0</v>
      </c>
      <c r="BQ20" s="375"/>
      <c r="BR20" s="375"/>
      <c r="BT20" s="364">
        <f>IF(試算表!DO9=試算表!CG21,IF(試算表!AB4="７割軽減",料率!B24,IF(試算表!AB4="５割軽減",料率!F24,IF(試算表!AB4="２割軽減",料率!J24,0))),0)</f>
        <v>0</v>
      </c>
      <c r="BU20" s="364"/>
      <c r="BV20" s="364"/>
      <c r="BX20" s="364">
        <f>IF(試算表!DS9=試算表!CK21,IF(試算表!AF4="７割軽減",料率!F24,IF(試算表!AF4="５割軽減",料率!J24,IF(試算表!AF4="２割軽減",料率!N24,0))),0)</f>
        <v>0</v>
      </c>
      <c r="BY20" s="364"/>
      <c r="BZ20" s="364"/>
      <c r="CA20" s="201"/>
      <c r="CF20" s="140"/>
      <c r="CG20" s="150" t="s">
        <v>115</v>
      </c>
      <c r="CH20" s="140"/>
      <c r="CI20" s="140"/>
      <c r="CJ20" s="140"/>
      <c r="CK20" s="140"/>
      <c r="CL20" s="140"/>
      <c r="CM20" s="140"/>
      <c r="CN20" s="140"/>
      <c r="CO20" s="140"/>
      <c r="CP20" s="150" t="s">
        <v>190</v>
      </c>
      <c r="CQ20" s="140"/>
      <c r="CR20" s="140"/>
      <c r="CS20" s="140"/>
      <c r="CT20" s="140"/>
      <c r="CU20" s="140"/>
      <c r="CV20" s="140"/>
      <c r="CW20" s="140"/>
      <c r="CX20" s="140"/>
      <c r="CY20" s="140"/>
      <c r="CZ20" s="140"/>
      <c r="DA20" s="140"/>
      <c r="DB20" s="140"/>
      <c r="DC20" s="140"/>
      <c r="DD20" s="140"/>
      <c r="DE20" s="140"/>
      <c r="DF20" s="140"/>
      <c r="DG20" s="140"/>
      <c r="DH20" s="140"/>
      <c r="DI20" s="140"/>
      <c r="DJ20" s="140"/>
      <c r="DK20" s="140"/>
      <c r="DL20" s="140"/>
      <c r="DM20" s="140"/>
      <c r="DN20" s="140"/>
      <c r="DO20" s="140"/>
      <c r="DP20" s="140"/>
      <c r="DQ20" s="140"/>
      <c r="DR20" s="140"/>
      <c r="DS20" s="140"/>
      <c r="DT20" s="140"/>
    </row>
    <row r="21" spans="1:124" s="4" customFormat="1" ht="18" thickBot="1" x14ac:dyDescent="0.25">
      <c r="A21" s="90"/>
      <c r="B21" s="8"/>
      <c r="C21" s="8"/>
      <c r="D21" s="8"/>
      <c r="E21" s="8"/>
      <c r="F21" s="8"/>
      <c r="G21" s="8"/>
      <c r="H21" s="8"/>
      <c r="I21" s="8"/>
      <c r="J21" s="8"/>
      <c r="K21" s="8"/>
      <c r="L21" s="8"/>
      <c r="M21" s="8"/>
      <c r="N21" s="8"/>
      <c r="O21" s="8"/>
      <c r="P21" s="8"/>
      <c r="Q21" s="8"/>
      <c r="R21" s="8"/>
      <c r="S21" s="8"/>
      <c r="T21" s="8"/>
      <c r="U21" s="8"/>
      <c r="V21" s="8"/>
      <c r="W21" s="8"/>
      <c r="X21" s="8"/>
      <c r="Y21" s="8"/>
      <c r="Z21" s="8"/>
      <c r="AA21" s="8"/>
      <c r="AB21" s="30"/>
      <c r="AC21" s="30"/>
      <c r="AD21" s="30"/>
      <c r="AE21" s="8"/>
      <c r="AF21" s="8"/>
      <c r="AG21" s="8"/>
      <c r="AH21" s="23"/>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30"/>
      <c r="BJ21" s="30"/>
      <c r="BK21" s="30"/>
      <c r="BL21" s="31"/>
      <c r="BM21" s="8"/>
      <c r="BN21" s="89"/>
      <c r="BO21" s="117" t="s">
        <v>21</v>
      </c>
      <c r="BP21" s="375">
        <f>SUM(BP15:BR20)</f>
        <v>0</v>
      </c>
      <c r="BQ21" s="375"/>
      <c r="BR21" s="375"/>
      <c r="BT21" s="364">
        <f>SUM(BT15:BV20)</f>
        <v>0</v>
      </c>
      <c r="BU21" s="364"/>
      <c r="BV21" s="364"/>
      <c r="BX21" s="364">
        <f>SUM(BX15:BZ20)</f>
        <v>0</v>
      </c>
      <c r="BY21" s="364"/>
      <c r="BZ21" s="364"/>
      <c r="CA21" s="201"/>
      <c r="CF21" s="140"/>
      <c r="CG21" s="483" t="s">
        <v>116</v>
      </c>
      <c r="CH21" s="483"/>
      <c r="CI21" s="483"/>
      <c r="CJ21" s="483"/>
      <c r="CK21" s="483"/>
      <c r="CL21" s="483"/>
      <c r="CM21" s="140"/>
      <c r="CN21" s="140"/>
      <c r="CO21" s="140"/>
      <c r="CP21" s="483"/>
      <c r="CQ21" s="483"/>
      <c r="CR21" s="483"/>
      <c r="CS21" s="483"/>
      <c r="CT21" s="483"/>
      <c r="CU21" s="483"/>
      <c r="CV21" s="140"/>
      <c r="CW21" s="170" t="s">
        <v>27</v>
      </c>
      <c r="CX21" s="170"/>
      <c r="CY21" s="170"/>
      <c r="CZ21" s="171"/>
      <c r="DA21" s="172"/>
      <c r="DB21" s="553">
        <v>4</v>
      </c>
      <c r="DC21" s="554"/>
      <c r="DD21" s="173" t="s">
        <v>28</v>
      </c>
      <c r="DE21" s="170"/>
      <c r="DF21" s="174">
        <f>CJ55</f>
        <v>12</v>
      </c>
      <c r="DG21" s="175" t="s">
        <v>54</v>
      </c>
      <c r="DH21" s="176"/>
      <c r="DI21" s="140"/>
      <c r="DJ21" s="140"/>
      <c r="DK21" s="140"/>
      <c r="DL21" s="140"/>
      <c r="DM21" s="140"/>
      <c r="DN21" s="140"/>
      <c r="DO21" s="140"/>
      <c r="DP21" s="140"/>
      <c r="DQ21" s="140"/>
      <c r="DR21" s="140"/>
      <c r="DS21" s="140"/>
      <c r="DT21" s="140"/>
    </row>
    <row r="22" spans="1:124" s="4" customFormat="1" ht="18" thickBot="1" x14ac:dyDescent="0.25">
      <c r="A22" s="90"/>
      <c r="B22" s="8"/>
      <c r="C22" s="373" t="s">
        <v>88</v>
      </c>
      <c r="D22" s="373"/>
      <c r="E22" s="373"/>
      <c r="F22" s="7" t="s">
        <v>70</v>
      </c>
      <c r="G22" s="372">
        <f>試算表!CM47</f>
        <v>0</v>
      </c>
      <c r="H22" s="372"/>
      <c r="I22" s="372"/>
      <c r="J22" s="372"/>
      <c r="K22" s="8" t="s">
        <v>68</v>
      </c>
      <c r="L22" s="7" t="s">
        <v>69</v>
      </c>
      <c r="M22" s="374">
        <f>料率!E32</f>
        <v>430000</v>
      </c>
      <c r="N22" s="374"/>
      <c r="O22" s="374"/>
      <c r="P22" s="8" t="s">
        <v>68</v>
      </c>
      <c r="Q22" s="8" t="s">
        <v>74</v>
      </c>
      <c r="R22" s="399">
        <f>料率!B11</f>
        <v>7.7</v>
      </c>
      <c r="S22" s="399"/>
      <c r="T22" s="7" t="s">
        <v>71</v>
      </c>
      <c r="U22" s="373">
        <v>100</v>
      </c>
      <c r="V22" s="373"/>
      <c r="W22" s="7" t="s">
        <v>72</v>
      </c>
      <c r="X22" s="374">
        <f>IF(試算表!CN39=1,0,IF(G22-M22&lt;0,0,ROUNDDOWN((G22-M22)*R22/U22,0)))</f>
        <v>0</v>
      </c>
      <c r="Y22" s="374"/>
      <c r="Z22" s="374"/>
      <c r="AA22" s="8"/>
      <c r="AB22" s="7" t="s">
        <v>87</v>
      </c>
      <c r="AC22" s="372">
        <f>IF(試算表!CJ39=1,料率!F6,0)</f>
        <v>0</v>
      </c>
      <c r="AD22" s="372"/>
      <c r="AE22" s="372"/>
      <c r="AF22" s="8"/>
      <c r="AG22" s="8"/>
      <c r="AH22" s="23"/>
      <c r="AI22" s="8"/>
      <c r="AJ22" s="373" t="s">
        <v>88</v>
      </c>
      <c r="AK22" s="373"/>
      <c r="AL22" s="373"/>
      <c r="AM22" s="7" t="s">
        <v>70</v>
      </c>
      <c r="AN22" s="372">
        <f>IF(試算表!CK39=1,試算表!CM47,0)</f>
        <v>0</v>
      </c>
      <c r="AO22" s="372"/>
      <c r="AP22" s="372"/>
      <c r="AQ22" s="372"/>
      <c r="AR22" s="8" t="s">
        <v>68</v>
      </c>
      <c r="AS22" s="7" t="s">
        <v>69</v>
      </c>
      <c r="AT22" s="374">
        <f>料率!E32</f>
        <v>430000</v>
      </c>
      <c r="AU22" s="374"/>
      <c r="AV22" s="374"/>
      <c r="AW22" s="8" t="s">
        <v>68</v>
      </c>
      <c r="AX22" s="8" t="s">
        <v>74</v>
      </c>
      <c r="AY22" s="399">
        <f>料率!L6</f>
        <v>2.8</v>
      </c>
      <c r="AZ22" s="399"/>
      <c r="BA22" s="7" t="s">
        <v>71</v>
      </c>
      <c r="BB22" s="373">
        <v>100</v>
      </c>
      <c r="BC22" s="373"/>
      <c r="BD22" s="7" t="s">
        <v>72</v>
      </c>
      <c r="BE22" s="374">
        <f>IF(AN22-AT22&lt;0,0,ROUNDDOWN((AN22-AT22)*AY22/BB22,0))</f>
        <v>0</v>
      </c>
      <c r="BF22" s="374"/>
      <c r="BG22" s="374"/>
      <c r="BH22" s="8"/>
      <c r="BI22" s="7" t="s">
        <v>87</v>
      </c>
      <c r="BJ22" s="372">
        <f>IF(試算表!CK39=1,料率!P6,0)</f>
        <v>0</v>
      </c>
      <c r="BK22" s="372"/>
      <c r="BL22" s="372"/>
      <c r="BM22" s="8"/>
      <c r="BN22" s="89"/>
      <c r="BO22" s="119" t="s">
        <v>185</v>
      </c>
      <c r="BP22" s="6"/>
      <c r="BQ22" s="6"/>
      <c r="BR22" s="6"/>
      <c r="BS22" s="98"/>
      <c r="BT22" s="4" t="s">
        <v>136</v>
      </c>
      <c r="BU22" s="99"/>
      <c r="BV22" s="99"/>
      <c r="BX22" s="4" t="s">
        <v>136</v>
      </c>
      <c r="BY22" s="99"/>
      <c r="BZ22" s="99"/>
      <c r="CA22" s="203"/>
      <c r="CB22" s="4" t="s">
        <v>16</v>
      </c>
      <c r="CF22" s="140"/>
      <c r="CG22" s="483" t="s">
        <v>141</v>
      </c>
      <c r="CH22" s="483"/>
      <c r="CI22" s="483"/>
      <c r="CJ22" s="483"/>
      <c r="CK22" s="483"/>
      <c r="CL22" s="483"/>
      <c r="CM22" s="140"/>
      <c r="CN22" s="140"/>
      <c r="CO22" s="140"/>
      <c r="CP22" s="495" t="s">
        <v>196</v>
      </c>
      <c r="CQ22" s="495"/>
      <c r="CR22" s="495"/>
      <c r="CS22" s="495"/>
      <c r="CT22" s="495"/>
      <c r="CU22" s="495"/>
      <c r="CV22" s="140"/>
      <c r="CW22" s="170"/>
      <c r="CX22" s="170"/>
      <c r="CY22" s="170"/>
      <c r="CZ22" s="171"/>
      <c r="DA22" s="171"/>
      <c r="DB22" s="177"/>
      <c r="DC22" s="177"/>
      <c r="DD22" s="170"/>
      <c r="DE22" s="170"/>
      <c r="DF22" s="175"/>
      <c r="DG22" s="175"/>
      <c r="DH22" s="175"/>
      <c r="DI22" s="140"/>
      <c r="DJ22" s="140"/>
      <c r="DK22" s="140"/>
      <c r="DL22" s="140"/>
      <c r="DM22" s="140"/>
      <c r="DN22" s="140"/>
      <c r="DO22" s="140"/>
      <c r="DP22" s="140"/>
      <c r="DQ22" s="140"/>
      <c r="DR22" s="140"/>
      <c r="DS22" s="140"/>
      <c r="DT22" s="140"/>
    </row>
    <row r="23" spans="1:124" s="4" customFormat="1" ht="18" thickBot="1" x14ac:dyDescent="0.25">
      <c r="A23" s="90"/>
      <c r="B23" s="8"/>
      <c r="C23" s="7"/>
      <c r="D23" s="7"/>
      <c r="E23" s="7"/>
      <c r="F23" s="7"/>
      <c r="G23" s="24"/>
      <c r="H23" s="24"/>
      <c r="I23" s="24"/>
      <c r="J23" s="24"/>
      <c r="K23" s="8"/>
      <c r="L23" s="7"/>
      <c r="M23" s="24"/>
      <c r="N23" s="24"/>
      <c r="O23" s="24"/>
      <c r="P23" s="8"/>
      <c r="Q23" s="8"/>
      <c r="R23" s="74"/>
      <c r="S23" s="74"/>
      <c r="T23" s="7"/>
      <c r="U23" s="7"/>
      <c r="V23" s="7"/>
      <c r="W23" s="7"/>
      <c r="X23" s="24"/>
      <c r="Y23" s="24"/>
      <c r="Z23" s="24"/>
      <c r="AA23" s="8"/>
      <c r="AB23" s="7"/>
      <c r="AC23" s="24"/>
      <c r="AD23" s="24"/>
      <c r="AE23" s="24"/>
      <c r="AF23" s="8"/>
      <c r="AG23" s="8"/>
      <c r="AH23" s="23"/>
      <c r="AI23" s="8"/>
      <c r="AJ23" s="7"/>
      <c r="AK23" s="7"/>
      <c r="AL23" s="7"/>
      <c r="AM23" s="7"/>
      <c r="AN23" s="24"/>
      <c r="AO23" s="24"/>
      <c r="AP23" s="24"/>
      <c r="AQ23" s="24"/>
      <c r="AR23" s="8"/>
      <c r="AS23" s="7"/>
      <c r="AT23" s="24"/>
      <c r="AU23" s="24"/>
      <c r="AV23" s="24"/>
      <c r="AW23" s="8"/>
      <c r="AX23" s="8"/>
      <c r="AY23" s="74"/>
      <c r="AZ23" s="74"/>
      <c r="BA23" s="7"/>
      <c r="BB23" s="7"/>
      <c r="BC23" s="7"/>
      <c r="BD23" s="7"/>
      <c r="BE23" s="24"/>
      <c r="BF23" s="24"/>
      <c r="BG23" s="24"/>
      <c r="BH23" s="8"/>
      <c r="BI23" s="7"/>
      <c r="BJ23" s="24"/>
      <c r="BK23" s="24"/>
      <c r="BL23" s="31"/>
      <c r="BM23" s="8"/>
      <c r="BN23" s="89"/>
      <c r="BO23" s="117" t="s">
        <v>82</v>
      </c>
      <c r="BP23" s="375">
        <f>IF(試算シート!I16="４０～６４歳",IF(試算表!CJ34=1,IF(試算表!CN34=1,IF($AB$4="２割軽減",料率!$P$11-BT23,IF($AB$4="７割軽減",料率!$P$6,IF($AB$4="５割軽減",料率!$P$6,料率!$P$11))),料率!P6),0),0)</f>
        <v>0</v>
      </c>
      <c r="BQ23" s="375"/>
      <c r="BR23" s="375"/>
      <c r="BS23" s="37"/>
      <c r="BT23" s="364">
        <f>IF(試算シート!I16="４０～６４歳",IF(試算表!CJ9=試算表!CG15,IF(試算表!$AB$4="７割軽減",料率!$B$20,IF(試算表!$AB$4="５割軽減",料率!$F$20,IF(試算表!$AB$4="２割軽減",料率!$J$20,0))),0),0)</f>
        <v>0</v>
      </c>
      <c r="BU23" s="364"/>
      <c r="BV23" s="364"/>
      <c r="BX23" s="363">
        <v>0</v>
      </c>
      <c r="BY23" s="363"/>
      <c r="BZ23" s="363"/>
      <c r="CA23" s="204"/>
      <c r="CB23" s="381">
        <f>料率!S6</f>
        <v>6000</v>
      </c>
      <c r="CC23" s="382"/>
      <c r="CD23" s="382"/>
      <c r="CF23" s="140"/>
      <c r="CG23" s="483" t="s">
        <v>142</v>
      </c>
      <c r="CH23" s="483"/>
      <c r="CI23" s="483"/>
      <c r="CJ23" s="483"/>
      <c r="CK23" s="483"/>
      <c r="CL23" s="483"/>
      <c r="CM23" s="140"/>
      <c r="CN23" s="140"/>
      <c r="CO23" s="140"/>
      <c r="CP23" s="483"/>
      <c r="CQ23" s="483"/>
      <c r="CR23" s="483"/>
      <c r="CS23" s="483"/>
      <c r="CT23" s="483"/>
      <c r="CU23" s="483"/>
      <c r="CV23" s="140"/>
      <c r="CW23" s="178" t="s">
        <v>56</v>
      </c>
      <c r="CX23" s="178"/>
      <c r="CY23" s="178"/>
      <c r="CZ23" s="179"/>
      <c r="DA23" s="179"/>
      <c r="DB23" s="500">
        <v>1</v>
      </c>
      <c r="DC23" s="501"/>
      <c r="DD23" s="180" t="s">
        <v>55</v>
      </c>
      <c r="DE23" s="181"/>
      <c r="DF23" s="182">
        <f>10-DB23+1</f>
        <v>10</v>
      </c>
      <c r="DG23" s="183" t="s">
        <v>29</v>
      </c>
      <c r="DH23" s="184"/>
      <c r="DI23" s="140"/>
      <c r="DJ23" s="140"/>
      <c r="DK23" s="140"/>
      <c r="DL23" s="140"/>
      <c r="DM23" s="140"/>
      <c r="DN23" s="140"/>
      <c r="DO23" s="140"/>
      <c r="DP23" s="140"/>
      <c r="DQ23" s="140"/>
      <c r="DR23" s="140"/>
      <c r="DS23" s="140"/>
      <c r="DT23" s="140"/>
    </row>
    <row r="24" spans="1:124" s="4" customFormat="1" x14ac:dyDescent="0.2">
      <c r="A24" s="90"/>
      <c r="B24" s="8"/>
      <c r="C24" s="8"/>
      <c r="D24" s="8"/>
      <c r="E24" s="8"/>
      <c r="F24" s="8"/>
      <c r="G24" s="8"/>
      <c r="H24" s="8"/>
      <c r="I24" s="8"/>
      <c r="J24" s="8"/>
      <c r="K24" s="8"/>
      <c r="L24" s="8"/>
      <c r="M24" s="8"/>
      <c r="N24" s="8"/>
      <c r="O24" s="8"/>
      <c r="P24" s="8"/>
      <c r="Q24" s="8"/>
      <c r="R24" s="8"/>
      <c r="S24" s="8"/>
      <c r="T24" s="8"/>
      <c r="U24" s="8"/>
      <c r="V24" s="8"/>
      <c r="W24" s="8"/>
      <c r="X24" s="8"/>
      <c r="Y24" s="79"/>
      <c r="Z24" s="127" t="str">
        <f>IF(SUM(試算表!CN34:CN39)&gt;0,"※社保の扶養が外れた６５歳以上の方は、当分の間所得割がかかりません","")</f>
        <v/>
      </c>
      <c r="AA24" s="8"/>
      <c r="AB24" s="8" t="s">
        <v>21</v>
      </c>
      <c r="AC24" s="410">
        <f>AC12+AC14+AC16+AC18+AC20+AC22</f>
        <v>0</v>
      </c>
      <c r="AD24" s="380"/>
      <c r="AE24" s="380"/>
      <c r="AF24" s="8"/>
      <c r="AG24" s="8"/>
      <c r="AH24" s="23"/>
      <c r="AI24" s="8"/>
      <c r="AJ24" s="8"/>
      <c r="AK24" s="8"/>
      <c r="AL24" s="8"/>
      <c r="AM24" s="8"/>
      <c r="AN24" s="8"/>
      <c r="AO24" s="8"/>
      <c r="AP24" s="8"/>
      <c r="AQ24" s="8"/>
      <c r="AR24" s="8"/>
      <c r="AS24" s="8"/>
      <c r="AT24" s="8"/>
      <c r="AU24" s="8"/>
      <c r="AV24" s="8"/>
      <c r="AW24" s="8"/>
      <c r="AX24" s="8"/>
      <c r="AY24" s="8"/>
      <c r="AZ24" s="8"/>
      <c r="BA24" s="8"/>
      <c r="BB24" s="8"/>
      <c r="BC24" s="8"/>
      <c r="BD24" s="8"/>
      <c r="BE24" s="8"/>
      <c r="BF24" s="79"/>
      <c r="BG24" s="8"/>
      <c r="BH24" s="8"/>
      <c r="BI24" s="8" t="s">
        <v>21</v>
      </c>
      <c r="BJ24" s="410">
        <f>BJ12+BJ14+BJ16+BJ18+BJ20+BJ22</f>
        <v>0</v>
      </c>
      <c r="BK24" s="380"/>
      <c r="BL24" s="380"/>
      <c r="BM24" s="8"/>
      <c r="BN24" s="91"/>
      <c r="BO24" s="117" t="s">
        <v>83</v>
      </c>
      <c r="BP24" s="375">
        <f>IF(試算シート!N16="４０～６４歳",IF(試算表!CJ35=1,IF(試算表!CN35=1,IF($AB$4="２割軽減",料率!$P$11-BT24,IF($AB$4="７割軽減",料率!$P$6,IF($AB$4="５割軽減",料率!$P$6,料率!$P$11))),料率!$P$6),0),0)</f>
        <v>0</v>
      </c>
      <c r="BQ24" s="375"/>
      <c r="BR24" s="375"/>
      <c r="BS24" s="37"/>
      <c r="BT24" s="383">
        <f>IF(試算シート!N16="４０～６４歳",IF(試算表!CP9=試算表!CG21,IF(試算表!$AB$4="７割軽減",料率!$B$20,IF(試算表!$AB$4="５割軽減",料率!$F$20,IF(試算表!$AB$4="２割軽減",料率!$J$20,0))),0),0)</f>
        <v>0</v>
      </c>
      <c r="BU24" s="384"/>
      <c r="BV24" s="385"/>
      <c r="BX24" s="363">
        <v>0</v>
      </c>
      <c r="BY24" s="363"/>
      <c r="BZ24" s="363"/>
      <c r="CA24" s="201"/>
      <c r="CB24" s="4" t="s">
        <v>136</v>
      </c>
      <c r="CF24" s="140"/>
      <c r="CG24" s="483" t="s">
        <v>117</v>
      </c>
      <c r="CH24" s="483"/>
      <c r="CI24" s="483"/>
      <c r="CJ24" s="483"/>
      <c r="CK24" s="483"/>
      <c r="CL24" s="483"/>
      <c r="CM24" s="140"/>
      <c r="CN24" s="140"/>
      <c r="CO24" s="140"/>
      <c r="CP24" s="483"/>
      <c r="CQ24" s="483"/>
      <c r="CR24" s="483"/>
      <c r="CS24" s="483"/>
      <c r="CT24" s="483"/>
      <c r="CU24" s="483"/>
      <c r="CV24" s="140"/>
      <c r="CW24" s="140"/>
      <c r="CX24" s="140"/>
      <c r="CY24" s="140"/>
      <c r="CZ24" s="140"/>
      <c r="DA24" s="140"/>
      <c r="DB24" s="140"/>
      <c r="DC24" s="140"/>
      <c r="DD24" s="140"/>
      <c r="DE24" s="140"/>
      <c r="DF24" s="140"/>
      <c r="DG24" s="140"/>
      <c r="DH24" s="140"/>
      <c r="DI24" s="140"/>
      <c r="DJ24" s="140"/>
      <c r="DK24" s="140"/>
      <c r="DL24" s="140"/>
      <c r="DM24" s="140"/>
      <c r="DN24" s="140"/>
      <c r="DO24" s="140"/>
      <c r="DP24" s="140"/>
      <c r="DQ24" s="140"/>
      <c r="DR24" s="140"/>
      <c r="DS24" s="140"/>
      <c r="DT24" s="140"/>
    </row>
    <row r="25" spans="1:124" s="4" customFormat="1" ht="14.25" customHeight="1" x14ac:dyDescent="0.2">
      <c r="A25" s="90"/>
      <c r="B25" s="8"/>
      <c r="C25" s="8"/>
      <c r="D25" s="8"/>
      <c r="E25" s="417" t="s">
        <v>17</v>
      </c>
      <c r="F25" s="418"/>
      <c r="G25" s="418"/>
      <c r="H25" s="419"/>
      <c r="I25" s="411">
        <f>試算表!CL60</f>
        <v>0</v>
      </c>
      <c r="J25" s="412"/>
      <c r="K25" s="412"/>
      <c r="L25" s="413"/>
      <c r="M25" s="8"/>
      <c r="N25" s="8"/>
      <c r="O25" s="8"/>
      <c r="P25" s="8"/>
      <c r="Q25" s="8"/>
      <c r="R25" s="7"/>
      <c r="S25" s="7"/>
      <c r="T25" s="7"/>
      <c r="U25" s="7"/>
      <c r="V25" s="7"/>
      <c r="W25" s="24"/>
      <c r="X25" s="48"/>
      <c r="Y25" s="8"/>
      <c r="Z25" s="26"/>
      <c r="AA25" s="8"/>
      <c r="AB25" s="46"/>
      <c r="AC25" s="8"/>
      <c r="AD25" s="8"/>
      <c r="AE25" s="8"/>
      <c r="AF25" s="8"/>
      <c r="AG25" s="8"/>
      <c r="AH25" s="23"/>
      <c r="AI25" s="8"/>
      <c r="AJ25" s="8"/>
      <c r="AK25" s="8"/>
      <c r="AL25" s="417" t="s">
        <v>17</v>
      </c>
      <c r="AM25" s="418"/>
      <c r="AN25" s="418"/>
      <c r="AO25" s="419"/>
      <c r="AP25" s="411">
        <f>I25</f>
        <v>0</v>
      </c>
      <c r="AQ25" s="412"/>
      <c r="AR25" s="412"/>
      <c r="AS25" s="413"/>
      <c r="AT25" s="8"/>
      <c r="AU25" s="8"/>
      <c r="AV25" s="8"/>
      <c r="AW25" s="8"/>
      <c r="AX25" s="8"/>
      <c r="AY25" s="7"/>
      <c r="AZ25" s="7"/>
      <c r="BA25" s="7"/>
      <c r="BB25" s="7"/>
      <c r="BC25" s="7"/>
      <c r="BD25" s="24"/>
      <c r="BE25" s="48"/>
      <c r="BF25" s="8"/>
      <c r="BG25" s="26"/>
      <c r="BH25" s="8"/>
      <c r="BI25" s="46"/>
      <c r="BJ25" s="8"/>
      <c r="BK25" s="8"/>
      <c r="BL25" s="8"/>
      <c r="BM25" s="8"/>
      <c r="BN25" s="89"/>
      <c r="BO25" s="117" t="s">
        <v>84</v>
      </c>
      <c r="BP25" s="375">
        <f>IF(試算シート!R16="４０～６４歳",IF(試算表!CJ36=1,IF(試算表!CN36=1,IF($AB$4="２割軽減",料率!$P$11-BT25,IF($AB$4="７割軽減",料率!$P$6,IF($AB$4="５割軽減",料率!$P$6,料率!$P$11))),料率!$P$6),0),0)</f>
        <v>0</v>
      </c>
      <c r="BQ25" s="375"/>
      <c r="BR25" s="375"/>
      <c r="BS25" s="37"/>
      <c r="BT25" s="383">
        <f>IF(試算シート!R16="４０～６４歳",IF(試算表!CU9=試算表!CG21,IF(試算表!$AB$4="７割軽減",料率!$B$20,IF(試算表!$AB$4="５割軽減",料率!$F$20,IF(試算表!$AB$4="２割軽減",料率!$J$20,0))),0),0)</f>
        <v>0</v>
      </c>
      <c r="BU25" s="384"/>
      <c r="BV25" s="385"/>
      <c r="BX25" s="363">
        <v>0</v>
      </c>
      <c r="BY25" s="363"/>
      <c r="BZ25" s="363"/>
      <c r="CA25" s="206"/>
      <c r="CB25" s="364">
        <f>IF(試算表!CJ9=試算表!CG15,IF(試算表!AB4="７割軽減",料率!D20,IF(試算表!AB4="５割軽減",料率!H20,IF(試算表!AB4="２割軽減",料率!L20,0))),0)</f>
        <v>0</v>
      </c>
      <c r="CC25" s="364"/>
      <c r="CD25" s="364"/>
      <c r="CF25" s="140"/>
      <c r="CG25" s="140"/>
      <c r="CH25" s="140"/>
      <c r="CI25" s="140"/>
      <c r="CJ25" s="140"/>
      <c r="CK25" s="140"/>
      <c r="CL25" s="140"/>
      <c r="CM25" s="140"/>
      <c r="CN25" s="140"/>
      <c r="CO25" s="140"/>
      <c r="CP25" s="140"/>
      <c r="CQ25" s="140"/>
      <c r="CR25" s="140"/>
      <c r="CS25" s="140"/>
      <c r="CT25" s="140"/>
      <c r="CU25" s="140"/>
      <c r="CV25" s="140"/>
      <c r="CW25" s="140"/>
      <c r="CX25" s="140"/>
      <c r="CY25" s="140"/>
      <c r="CZ25" s="140"/>
      <c r="DA25" s="140"/>
      <c r="DB25" s="140"/>
      <c r="DC25" s="140"/>
      <c r="DD25" s="140"/>
      <c r="DE25" s="140"/>
      <c r="DF25" s="140"/>
      <c r="DG25" s="140"/>
      <c r="DH25" s="140"/>
      <c r="DI25" s="140"/>
      <c r="DJ25" s="140"/>
      <c r="DK25" s="140"/>
      <c r="DL25" s="140"/>
      <c r="DM25" s="140"/>
      <c r="DN25" s="140"/>
      <c r="DO25" s="140"/>
      <c r="DP25" s="140"/>
      <c r="DQ25" s="140"/>
      <c r="DR25" s="140"/>
      <c r="DS25" s="140"/>
      <c r="DT25" s="140"/>
    </row>
    <row r="26" spans="1:124" s="4" customFormat="1" x14ac:dyDescent="0.2">
      <c r="A26" s="90"/>
      <c r="B26" s="8"/>
      <c r="C26" s="8"/>
      <c r="D26" s="8"/>
      <c r="E26" s="8"/>
      <c r="F26" s="8"/>
      <c r="G26" s="8"/>
      <c r="H26" s="8"/>
      <c r="I26" s="8"/>
      <c r="J26" s="8"/>
      <c r="K26" s="8"/>
      <c r="L26" s="8"/>
      <c r="M26" s="8"/>
      <c r="N26" s="8"/>
      <c r="O26" s="8"/>
      <c r="P26" s="8"/>
      <c r="Q26" s="8"/>
      <c r="R26" s="8"/>
      <c r="S26" s="380" t="s">
        <v>98</v>
      </c>
      <c r="T26" s="380"/>
      <c r="U26" s="380"/>
      <c r="V26" s="380"/>
      <c r="W26" s="410">
        <f>X12+X14+X16+X18+X20+X22</f>
        <v>0</v>
      </c>
      <c r="X26" s="410"/>
      <c r="Y26" s="410"/>
      <c r="Z26" s="410"/>
      <c r="AA26" s="8"/>
      <c r="AB26" s="8" t="s">
        <v>96</v>
      </c>
      <c r="AC26" s="7"/>
      <c r="AD26" s="7"/>
      <c r="AE26" s="7"/>
      <c r="AF26" s="8"/>
      <c r="AG26" s="8"/>
      <c r="AH26" s="23"/>
      <c r="AI26" s="8"/>
      <c r="AJ26" s="8"/>
      <c r="AK26" s="8"/>
      <c r="AL26" s="8"/>
      <c r="AM26" s="8"/>
      <c r="AN26" s="8"/>
      <c r="AO26" s="8"/>
      <c r="AP26" s="8"/>
      <c r="AQ26" s="8"/>
      <c r="AR26" s="8"/>
      <c r="AS26" s="8"/>
      <c r="AT26" s="8"/>
      <c r="AU26" s="8"/>
      <c r="AV26" s="8"/>
      <c r="AW26" s="8"/>
      <c r="AX26" s="8"/>
      <c r="AY26" s="8"/>
      <c r="AZ26" s="380" t="s">
        <v>98</v>
      </c>
      <c r="BA26" s="380"/>
      <c r="BB26" s="380"/>
      <c r="BC26" s="380"/>
      <c r="BD26" s="410">
        <f>BE12+BE14+BE16+BE18+BE20+BE22</f>
        <v>0</v>
      </c>
      <c r="BE26" s="410"/>
      <c r="BF26" s="410"/>
      <c r="BG26" s="410"/>
      <c r="BH26" s="8"/>
      <c r="BI26" s="8" t="s">
        <v>96</v>
      </c>
      <c r="BJ26" s="7"/>
      <c r="BK26" s="7"/>
      <c r="BL26" s="7"/>
      <c r="BM26" s="8"/>
      <c r="BN26" s="89"/>
      <c r="BO26" s="117" t="s">
        <v>85</v>
      </c>
      <c r="BP26" s="375">
        <f>IF(試算シート!V16="４０～６４歳",IF(試算表!CJ37=1,IF(試算表!CN37=1,IF($AB$4="２割軽減",料率!$P$11-BT26,IF($AB$4="７割軽減",料率!$P$6,IF($AB$4="５割軽減",料率!$P$6,料率!$P$11))),料率!$P$6),0),0)</f>
        <v>0</v>
      </c>
      <c r="BQ26" s="375"/>
      <c r="BR26" s="375"/>
      <c r="BS26" s="37"/>
      <c r="BT26" s="383">
        <f>IF(試算シート!V16="４０～６４歳",IF(試算表!CZ9=試算表!CG21,IF(試算表!$AB$4="７割軽減",料率!$B$20,IF(試算表!$AB$4="５割軽減",料率!$F$20,IF(試算表!$AB$4="２割軽減",料率!$J$20,0))),0),0)</f>
        <v>0</v>
      </c>
      <c r="BU26" s="384"/>
      <c r="BV26" s="385"/>
      <c r="BX26" s="363">
        <v>0</v>
      </c>
      <c r="BY26" s="363"/>
      <c r="BZ26" s="363"/>
      <c r="CA26" s="201"/>
      <c r="CF26" s="140"/>
      <c r="CG26" s="150" t="s">
        <v>119</v>
      </c>
      <c r="CH26" s="140"/>
      <c r="CI26" s="140"/>
      <c r="CJ26" s="140"/>
      <c r="CK26" s="140"/>
      <c r="CL26" s="140"/>
      <c r="CM26" s="140"/>
      <c r="CN26" s="140"/>
      <c r="CO26" s="140"/>
      <c r="CP26" s="140"/>
      <c r="CQ26" s="140"/>
      <c r="CR26" s="140"/>
      <c r="CS26" s="140"/>
      <c r="CT26" s="140"/>
      <c r="CU26" s="140"/>
      <c r="CV26" s="140"/>
      <c r="CW26" s="140"/>
      <c r="CX26" s="140"/>
      <c r="CY26" s="140"/>
      <c r="CZ26" s="140"/>
      <c r="DA26" s="140"/>
      <c r="DB26" s="140"/>
      <c r="DC26" s="140"/>
      <c r="DD26" s="140"/>
      <c r="DE26" s="140"/>
      <c r="DF26" s="140"/>
      <c r="DG26" s="140"/>
      <c r="DH26" s="140"/>
      <c r="DI26" s="140"/>
      <c r="DJ26" s="140"/>
      <c r="DK26" s="140"/>
      <c r="DL26" s="140"/>
      <c r="DM26" s="140"/>
      <c r="DN26" s="140"/>
      <c r="DO26" s="140"/>
      <c r="DP26" s="140"/>
      <c r="DQ26" s="140"/>
      <c r="DR26" s="140"/>
      <c r="DS26" s="140"/>
      <c r="DT26" s="140"/>
    </row>
    <row r="27" spans="1:124" s="4" customFormat="1" x14ac:dyDescent="0.2">
      <c r="A27" s="90"/>
      <c r="B27" s="8"/>
      <c r="C27" s="8"/>
      <c r="D27" s="8"/>
      <c r="E27" s="414" t="s">
        <v>81</v>
      </c>
      <c r="F27" s="415"/>
      <c r="G27" s="415"/>
      <c r="H27" s="416"/>
      <c r="I27" s="406">
        <f>試算表!CL61</f>
        <v>0</v>
      </c>
      <c r="J27" s="407"/>
      <c r="K27" s="407"/>
      <c r="L27" s="408"/>
      <c r="M27" s="8"/>
      <c r="N27" s="8"/>
      <c r="O27" s="8"/>
      <c r="P27" s="8"/>
      <c r="Q27" s="8"/>
      <c r="R27" s="8"/>
      <c r="AA27" s="8"/>
      <c r="AB27" s="8"/>
      <c r="AC27" s="8"/>
      <c r="AD27" s="8"/>
      <c r="AE27" s="8"/>
      <c r="AF27" s="8"/>
      <c r="AG27" s="8"/>
      <c r="AH27" s="23"/>
      <c r="AI27" s="8"/>
      <c r="AJ27" s="8"/>
      <c r="AK27" s="8"/>
      <c r="AL27" s="414" t="s">
        <v>81</v>
      </c>
      <c r="AM27" s="415"/>
      <c r="AN27" s="415"/>
      <c r="AO27" s="416"/>
      <c r="AP27" s="406">
        <f>I27</f>
        <v>0</v>
      </c>
      <c r="AQ27" s="407"/>
      <c r="AR27" s="407"/>
      <c r="AS27" s="408"/>
      <c r="AT27" s="8"/>
      <c r="AU27" s="8"/>
      <c r="AV27" s="8"/>
      <c r="AW27" s="8"/>
      <c r="AX27" s="8"/>
      <c r="AY27" s="8"/>
      <c r="BH27" s="8"/>
      <c r="BI27" s="8"/>
      <c r="BJ27" s="8"/>
      <c r="BK27" s="8"/>
      <c r="BL27" s="8"/>
      <c r="BM27" s="8"/>
      <c r="BN27" s="89"/>
      <c r="BO27" s="117" t="s">
        <v>86</v>
      </c>
      <c r="BP27" s="375">
        <f>IF(試算シート!Z16="４０～６４歳",IF(試算表!CJ38=1,IF(試算表!CN38=1,IF($AB$4="２割軽減",料率!$P$11-BT27,IF($AB$4="７割軽減",料率!$P$6,IF($AB$4="５割軽減",料率!$P$6,料率!$P$11))),料率!$P$6),0),0)</f>
        <v>0</v>
      </c>
      <c r="BQ27" s="375"/>
      <c r="BR27" s="375"/>
      <c r="BS27" s="37"/>
      <c r="BT27" s="383">
        <f>IF(試算シート!Z16="４０～６４歳",IF(試算表!DE9=試算表!CG21,IF(試算表!$AB$4="７割軽減",料率!$B$20,IF(試算表!$AB$4="５割軽減",料率!$F$20,IF(試算表!$AB$4="２割軽減",料率!$J$20,0))),0),0)</f>
        <v>0</v>
      </c>
      <c r="BU27" s="384"/>
      <c r="BV27" s="385"/>
      <c r="BX27" s="363">
        <v>0</v>
      </c>
      <c r="BY27" s="363"/>
      <c r="BZ27" s="363"/>
      <c r="CA27" s="201"/>
      <c r="CF27" s="140"/>
      <c r="CG27" s="492"/>
      <c r="CH27" s="493"/>
      <c r="CI27" s="493"/>
      <c r="CJ27" s="494"/>
      <c r="CK27" s="140"/>
      <c r="CL27" s="140"/>
      <c r="CM27" s="140"/>
      <c r="CN27" s="140"/>
      <c r="CO27" s="140"/>
      <c r="CP27" s="140"/>
      <c r="CQ27" s="140"/>
      <c r="CR27" s="140"/>
      <c r="CS27" s="140"/>
      <c r="CT27" s="140"/>
      <c r="CU27" s="140"/>
      <c r="CV27" s="140"/>
      <c r="CW27" s="140"/>
      <c r="CX27" s="140"/>
      <c r="CY27" s="140"/>
      <c r="CZ27" s="140"/>
      <c r="DA27" s="140"/>
      <c r="DB27" s="140"/>
      <c r="DC27" s="140"/>
      <c r="DD27" s="140"/>
      <c r="DE27" s="140"/>
      <c r="DF27" s="140"/>
      <c r="DG27" s="140"/>
      <c r="DH27" s="140"/>
      <c r="DI27" s="140"/>
      <c r="DJ27" s="140"/>
      <c r="DK27" s="140"/>
      <c r="DL27" s="140"/>
      <c r="DM27" s="140"/>
      <c r="DN27" s="140"/>
      <c r="DO27" s="140"/>
      <c r="DP27" s="140"/>
      <c r="DQ27" s="140"/>
      <c r="DR27" s="140"/>
      <c r="DS27" s="140"/>
      <c r="DT27" s="140"/>
    </row>
    <row r="28" spans="1:124" s="4" customFormat="1" x14ac:dyDescent="0.2">
      <c r="A28" s="90"/>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411">
        <f>IF(AB6="平等割半額",料率!I11,料率!I6)</f>
        <v>20800</v>
      </c>
      <c r="AD28" s="412"/>
      <c r="AE28" s="413"/>
      <c r="AF28" s="8"/>
      <c r="AG28" s="8"/>
      <c r="AH28" s="23"/>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411">
        <f>IF(L6=0,0,料率!S6)</f>
        <v>0</v>
      </c>
      <c r="BK28" s="412"/>
      <c r="BL28" s="413"/>
      <c r="BM28" s="8"/>
      <c r="BN28" s="89"/>
      <c r="BO28" s="117" t="s">
        <v>87</v>
      </c>
      <c r="BP28" s="375">
        <f>IF(試算表!DO10="４０～６４歳",IF(試算表!CJ39=1,IF(試算表!CN39=1,IF($AB$4="２割軽減",料率!$P$11-BT28,IF($AB$4="７割軽減",料率!$P$6,IF($AB$4="５割軽減",料率!$P$6,料率!$P$11))),料率!$P$6),0),0)</f>
        <v>0</v>
      </c>
      <c r="BQ28" s="375"/>
      <c r="BR28" s="375"/>
      <c r="BT28" s="383">
        <f>IF(試算表!DO10="４０～６４歳",IF(試算表!DO9=試算表!CG21,IF(試算表!$AB$4="７割軽減",料率!$B$20,IF(試算表!$AB$4="５割軽減",料率!$F$20,IF(試算表!$AB$4="２割軽減",料率!$J$20,0))),0),0)</f>
        <v>0</v>
      </c>
      <c r="BU28" s="384"/>
      <c r="BV28" s="385"/>
      <c r="BX28" s="363">
        <v>0</v>
      </c>
      <c r="BY28" s="363"/>
      <c r="BZ28" s="363"/>
      <c r="CA28" s="201"/>
      <c r="CF28" s="140"/>
      <c r="CG28" s="492" t="s">
        <v>235</v>
      </c>
      <c r="CH28" s="493"/>
      <c r="CI28" s="493"/>
      <c r="CJ28" s="494"/>
      <c r="CK28" s="140"/>
      <c r="CL28" s="140"/>
      <c r="CM28" s="140"/>
      <c r="CN28" s="140"/>
      <c r="CO28" s="140"/>
      <c r="CP28" s="140"/>
      <c r="CQ28" s="140"/>
      <c r="CR28" s="140"/>
      <c r="CS28" s="140"/>
      <c r="CT28" s="140"/>
      <c r="CU28" s="140"/>
      <c r="CV28" s="140"/>
      <c r="CW28" s="140"/>
      <c r="CX28" s="140"/>
      <c r="CY28" s="140"/>
      <c r="CZ28" s="140"/>
      <c r="DA28" s="140"/>
      <c r="DB28" s="140"/>
      <c r="DC28" s="140"/>
      <c r="DD28" s="140"/>
      <c r="DE28" s="140"/>
      <c r="DF28" s="140"/>
      <c r="DG28" s="140"/>
      <c r="DH28" s="140"/>
      <c r="DI28" s="140"/>
      <c r="DJ28" s="140"/>
      <c r="DK28" s="140"/>
      <c r="DL28" s="140"/>
      <c r="DM28" s="140"/>
      <c r="DN28" s="140"/>
      <c r="DO28" s="140"/>
      <c r="DP28" s="140"/>
      <c r="DQ28" s="140"/>
      <c r="DR28" s="140"/>
      <c r="DS28" s="140"/>
      <c r="DT28" s="140"/>
    </row>
    <row r="29" spans="1:124" s="4" customFormat="1" x14ac:dyDescent="0.2">
      <c r="A29" s="90"/>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23"/>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9"/>
      <c r="BO29" s="117" t="s">
        <v>21</v>
      </c>
      <c r="BP29" s="375">
        <f>SUM(BP23:BR28)</f>
        <v>0</v>
      </c>
      <c r="BQ29" s="375"/>
      <c r="BR29" s="375"/>
      <c r="BT29" s="364">
        <f>SUM(BT23:BV28)</f>
        <v>0</v>
      </c>
      <c r="BU29" s="364"/>
      <c r="BV29" s="364"/>
      <c r="BX29" s="364">
        <f>SUM(BX23:BZ28)</f>
        <v>0</v>
      </c>
      <c r="BY29" s="364"/>
      <c r="BZ29" s="364"/>
      <c r="CA29" s="201"/>
      <c r="CF29" s="140"/>
      <c r="CG29" s="492" t="s">
        <v>120</v>
      </c>
      <c r="CH29" s="493"/>
      <c r="CI29" s="493"/>
      <c r="CJ29" s="494"/>
      <c r="CK29" s="140"/>
      <c r="CL29" s="140"/>
      <c r="CM29" s="140"/>
      <c r="CN29" s="140"/>
      <c r="CO29" s="140"/>
      <c r="CP29" s="140"/>
      <c r="CQ29" s="140"/>
      <c r="CR29" s="140"/>
      <c r="CS29" s="140"/>
      <c r="CT29" s="140"/>
      <c r="CU29" s="140"/>
      <c r="CV29" s="140"/>
      <c r="CW29" s="140"/>
      <c r="CX29" s="140"/>
      <c r="CY29" s="140"/>
      <c r="CZ29" s="140"/>
      <c r="DA29" s="140"/>
      <c r="DB29" s="140"/>
      <c r="DC29" s="140"/>
      <c r="DD29" s="140"/>
      <c r="DE29" s="140"/>
      <c r="DF29" s="140"/>
      <c r="DG29" s="140"/>
      <c r="DH29" s="140"/>
      <c r="DI29" s="140"/>
      <c r="DJ29" s="140"/>
      <c r="DK29" s="140"/>
      <c r="DL29" s="140"/>
      <c r="DM29" s="140"/>
      <c r="DN29" s="140"/>
      <c r="DO29" s="140"/>
      <c r="DP29" s="140"/>
      <c r="DQ29" s="140"/>
      <c r="DR29" s="140"/>
      <c r="DS29" s="140"/>
      <c r="DT29" s="140"/>
    </row>
    <row r="30" spans="1:124" s="4" customFormat="1" x14ac:dyDescent="0.2">
      <c r="A30" s="90"/>
      <c r="B30" s="8"/>
      <c r="C30" s="8" t="s">
        <v>95</v>
      </c>
      <c r="D30" s="8"/>
      <c r="E30" s="8"/>
      <c r="F30" s="8"/>
      <c r="G30" s="8"/>
      <c r="H30" s="8"/>
      <c r="I30" s="8"/>
      <c r="J30" s="8"/>
      <c r="K30" s="8"/>
      <c r="L30" s="8"/>
      <c r="M30" s="8"/>
      <c r="N30" s="8"/>
      <c r="O30" s="8"/>
      <c r="P30" s="8"/>
      <c r="Q30" s="8"/>
      <c r="R30" s="8"/>
      <c r="S30" s="8"/>
      <c r="T30" s="8"/>
      <c r="U30" s="8"/>
      <c r="V30" s="8"/>
      <c r="W30" s="8"/>
      <c r="X30" s="8"/>
      <c r="Y30" s="8"/>
      <c r="Z30" s="8"/>
      <c r="AA30" s="24"/>
      <c r="AB30" s="8"/>
      <c r="AC30" s="8"/>
      <c r="AD30" s="8"/>
      <c r="AE30" s="8"/>
      <c r="AF30" s="8"/>
      <c r="AG30" s="8"/>
      <c r="AH30" s="23"/>
      <c r="AI30" s="8"/>
      <c r="AJ30" s="8" t="s">
        <v>111</v>
      </c>
      <c r="AK30" s="8"/>
      <c r="AL30" s="8"/>
      <c r="AM30" s="8"/>
      <c r="AN30" s="8"/>
      <c r="AO30" s="8"/>
      <c r="AP30" s="8"/>
      <c r="AQ30" s="8"/>
      <c r="AR30" s="8"/>
      <c r="AS30" s="8"/>
      <c r="AT30" s="8"/>
      <c r="AU30" s="8"/>
      <c r="AV30" s="8"/>
      <c r="AW30" s="8"/>
      <c r="AX30" s="8"/>
      <c r="AY30" s="8"/>
      <c r="AZ30" s="8"/>
      <c r="BA30" s="8"/>
      <c r="BB30" s="8"/>
      <c r="BC30" s="8"/>
      <c r="BD30" s="8"/>
      <c r="BE30" s="8"/>
      <c r="BF30" s="8"/>
      <c r="BG30" s="8"/>
      <c r="BH30" s="24"/>
      <c r="BI30" s="8"/>
      <c r="BJ30" s="8"/>
      <c r="BK30" s="8"/>
      <c r="BL30" s="8"/>
      <c r="BM30" s="8"/>
      <c r="BN30" s="89"/>
      <c r="BO30"/>
      <c r="CA30" s="98"/>
      <c r="CF30" s="140"/>
      <c r="CG30" s="492" t="s">
        <v>121</v>
      </c>
      <c r="CH30" s="493"/>
      <c r="CI30" s="493"/>
      <c r="CJ30" s="494"/>
      <c r="CK30" s="140"/>
      <c r="CL30" s="140"/>
      <c r="CM30" s="140"/>
      <c r="CN30" s="140"/>
      <c r="CO30" s="140"/>
      <c r="CP30" s="140"/>
      <c r="CQ30" s="140"/>
      <c r="CR30" s="140"/>
      <c r="CS30" s="140"/>
      <c r="CT30" s="140"/>
      <c r="CU30" s="140"/>
      <c r="CV30" s="140"/>
      <c r="CW30" s="140"/>
      <c r="CX30" s="140"/>
      <c r="CY30" s="140"/>
      <c r="CZ30" s="140"/>
      <c r="DA30" s="140"/>
      <c r="DB30" s="140"/>
      <c r="DC30" s="140"/>
      <c r="DD30" s="140"/>
      <c r="DE30" s="140"/>
      <c r="DF30" s="140"/>
      <c r="DG30" s="140"/>
      <c r="DH30" s="140"/>
      <c r="DI30" s="140"/>
      <c r="DJ30" s="140"/>
      <c r="DK30" s="140"/>
      <c r="DL30" s="140"/>
      <c r="DM30" s="140"/>
      <c r="DN30" s="140"/>
      <c r="DO30" s="140"/>
      <c r="DP30" s="140"/>
      <c r="DQ30" s="140"/>
      <c r="DR30" s="140"/>
      <c r="DS30" s="140"/>
      <c r="DT30" s="140"/>
    </row>
    <row r="31" spans="1:124" s="4" customFormat="1" x14ac:dyDescent="0.2">
      <c r="A31" s="90"/>
      <c r="B31" s="8"/>
      <c r="C31" s="8"/>
      <c r="D31" s="45" t="s">
        <v>20</v>
      </c>
      <c r="E31" s="45"/>
      <c r="F31" s="45"/>
      <c r="G31" s="45"/>
      <c r="H31" s="45"/>
      <c r="I31" s="45" t="s">
        <v>89</v>
      </c>
      <c r="J31" s="45"/>
      <c r="K31" s="45"/>
      <c r="L31" s="45"/>
      <c r="M31" s="45" t="s">
        <v>91</v>
      </c>
      <c r="N31" s="45"/>
      <c r="O31" s="45"/>
      <c r="P31" s="45"/>
      <c r="Q31" s="45"/>
      <c r="R31" s="45"/>
      <c r="S31" s="45" t="s">
        <v>21</v>
      </c>
      <c r="T31" s="45"/>
      <c r="U31" s="45"/>
      <c r="V31" s="45"/>
      <c r="W31" s="45"/>
      <c r="X31" s="45" t="s">
        <v>94</v>
      </c>
      <c r="Y31" s="45"/>
      <c r="Z31" s="8"/>
      <c r="AA31" s="8"/>
      <c r="AB31" s="8"/>
      <c r="AC31" s="8"/>
      <c r="AD31" s="8"/>
      <c r="AE31" s="8"/>
      <c r="AF31" s="8"/>
      <c r="AG31" s="8"/>
      <c r="AH31" s="23"/>
      <c r="AI31" s="8"/>
      <c r="AJ31" s="8"/>
      <c r="AK31" s="45" t="s">
        <v>20</v>
      </c>
      <c r="AL31" s="45"/>
      <c r="AM31" s="45"/>
      <c r="AN31" s="45"/>
      <c r="AO31" s="45"/>
      <c r="AP31" s="45" t="s">
        <v>89</v>
      </c>
      <c r="AQ31" s="45"/>
      <c r="AR31" s="45"/>
      <c r="AS31" s="45"/>
      <c r="AT31" s="45" t="s">
        <v>91</v>
      </c>
      <c r="AU31" s="45"/>
      <c r="AV31" s="45"/>
      <c r="AW31" s="45"/>
      <c r="AX31" s="45"/>
      <c r="AY31" s="45"/>
      <c r="AZ31" s="45" t="s">
        <v>21</v>
      </c>
      <c r="BA31" s="45"/>
      <c r="BB31" s="45"/>
      <c r="BC31" s="45"/>
      <c r="BD31" s="45"/>
      <c r="BE31" s="45" t="s">
        <v>110</v>
      </c>
      <c r="BF31" s="8"/>
      <c r="BG31" s="8"/>
      <c r="BH31" s="8"/>
      <c r="BI31" s="8"/>
      <c r="BJ31" s="8"/>
      <c r="BK31" s="8"/>
      <c r="BL31" s="8"/>
      <c r="BM31" s="8"/>
      <c r="BN31" s="89"/>
      <c r="BO31"/>
      <c r="CA31" s="98"/>
      <c r="CF31" s="140"/>
      <c r="CG31" s="492" t="s">
        <v>122</v>
      </c>
      <c r="CH31" s="493"/>
      <c r="CI31" s="493"/>
      <c r="CJ31" s="494"/>
      <c r="CK31" s="140"/>
      <c r="CL31" s="140"/>
      <c r="CM31" s="140"/>
      <c r="CN31" s="140"/>
      <c r="CO31" s="140"/>
      <c r="CP31" s="140"/>
      <c r="CQ31" s="140"/>
      <c r="CR31" s="140"/>
      <c r="CS31" s="140"/>
      <c r="CT31" s="140"/>
      <c r="CU31" s="140"/>
      <c r="CV31" s="140"/>
      <c r="CW31" s="140"/>
      <c r="CX31" s="140"/>
      <c r="CY31" s="140"/>
      <c r="CZ31" s="140"/>
      <c r="DA31" s="140"/>
      <c r="DB31" s="140"/>
      <c r="DC31" s="140"/>
      <c r="DD31" s="140"/>
      <c r="DE31" s="140"/>
      <c r="DF31" s="140"/>
      <c r="DG31" s="140"/>
      <c r="DH31" s="140"/>
      <c r="DI31" s="140"/>
      <c r="DJ31" s="140"/>
      <c r="DK31" s="140"/>
      <c r="DL31" s="140"/>
      <c r="DM31" s="140"/>
      <c r="DN31" s="140"/>
      <c r="DO31" s="140"/>
      <c r="DP31" s="140"/>
      <c r="DQ31" s="140"/>
      <c r="DR31" s="140"/>
      <c r="DS31" s="140"/>
      <c r="DT31" s="140"/>
    </row>
    <row r="32" spans="1:124" s="4" customFormat="1" x14ac:dyDescent="0.2">
      <c r="A32" s="90"/>
      <c r="B32" s="8"/>
      <c r="C32" s="8"/>
      <c r="D32" s="406">
        <f>W26</f>
        <v>0</v>
      </c>
      <c r="E32" s="407"/>
      <c r="F32" s="407"/>
      <c r="G32" s="408"/>
      <c r="H32" s="7" t="s">
        <v>90</v>
      </c>
      <c r="I32" s="406">
        <f>AC24</f>
        <v>0</v>
      </c>
      <c r="J32" s="407"/>
      <c r="K32" s="407"/>
      <c r="L32" s="408"/>
      <c r="M32" s="7" t="s">
        <v>90</v>
      </c>
      <c r="N32" s="411">
        <f>AC28</f>
        <v>20800</v>
      </c>
      <c r="O32" s="412"/>
      <c r="P32" s="412"/>
      <c r="Q32" s="413"/>
      <c r="R32" s="7" t="s">
        <v>92</v>
      </c>
      <c r="S32" s="406">
        <f>D32+I32+N32</f>
        <v>20800</v>
      </c>
      <c r="T32" s="407"/>
      <c r="U32" s="407"/>
      <c r="V32" s="408"/>
      <c r="W32" s="7" t="s">
        <v>93</v>
      </c>
      <c r="X32" s="411">
        <f>IF(S32&gt;料率!E35,料率!E35,ROUNDDOWN(S32,-2))</f>
        <v>20800</v>
      </c>
      <c r="Y32" s="412"/>
      <c r="Z32" s="412"/>
      <c r="AA32" s="413"/>
      <c r="AB32" s="8"/>
      <c r="AC32" s="8"/>
      <c r="AD32" s="8"/>
      <c r="AE32" s="8"/>
      <c r="AF32" s="8"/>
      <c r="AG32" s="8"/>
      <c r="AH32" s="23"/>
      <c r="AI32" s="8"/>
      <c r="AJ32" s="8"/>
      <c r="AK32" s="406">
        <f>BD26</f>
        <v>0</v>
      </c>
      <c r="AL32" s="407"/>
      <c r="AM32" s="407"/>
      <c r="AN32" s="408"/>
      <c r="AO32" s="7" t="s">
        <v>90</v>
      </c>
      <c r="AP32" s="406">
        <f>BJ24</f>
        <v>0</v>
      </c>
      <c r="AQ32" s="407"/>
      <c r="AR32" s="407"/>
      <c r="AS32" s="408"/>
      <c r="AT32" s="7" t="s">
        <v>90</v>
      </c>
      <c r="AU32" s="411">
        <f>BJ28</f>
        <v>0</v>
      </c>
      <c r="AV32" s="412"/>
      <c r="AW32" s="412"/>
      <c r="AX32" s="413"/>
      <c r="AY32" s="7" t="s">
        <v>92</v>
      </c>
      <c r="AZ32" s="406">
        <f>AK32+AP32+AU32</f>
        <v>0</v>
      </c>
      <c r="BA32" s="407"/>
      <c r="BB32" s="407"/>
      <c r="BC32" s="408"/>
      <c r="BD32" s="7" t="s">
        <v>93</v>
      </c>
      <c r="BE32" s="411">
        <f>IF(AZ32&gt;料率!E36,料率!E36,ROUNDDOWN(AZ32,-2))</f>
        <v>0</v>
      </c>
      <c r="BF32" s="412"/>
      <c r="BG32" s="412"/>
      <c r="BH32" s="413"/>
      <c r="BI32" s="8"/>
      <c r="BJ32" s="8"/>
      <c r="BK32" s="8"/>
      <c r="BL32" s="8"/>
      <c r="BM32" s="8"/>
      <c r="BN32" s="89"/>
      <c r="BO32"/>
      <c r="CA32" s="98"/>
      <c r="CF32" s="140"/>
      <c r="CG32" s="140"/>
      <c r="CH32" s="140"/>
      <c r="CI32" s="140"/>
      <c r="CJ32" s="140"/>
      <c r="CK32" s="140"/>
      <c r="CL32" s="140"/>
      <c r="CM32" s="140"/>
      <c r="CN32" s="140"/>
      <c r="CO32" s="140"/>
      <c r="CP32" s="140"/>
      <c r="CQ32" s="140"/>
      <c r="CR32" s="140"/>
      <c r="CS32" s="140"/>
      <c r="CT32" s="140"/>
      <c r="CU32" s="140"/>
      <c r="CV32" s="140"/>
      <c r="CW32" s="140"/>
      <c r="CX32" s="140"/>
      <c r="CY32" s="140"/>
      <c r="DE32" s="140"/>
      <c r="DF32" s="140"/>
      <c r="DG32" s="140"/>
      <c r="DH32" s="140"/>
      <c r="DI32" s="140"/>
      <c r="DJ32" s="140"/>
      <c r="DK32" s="140"/>
      <c r="DL32" s="140"/>
      <c r="DM32" s="140"/>
      <c r="DN32" s="140"/>
      <c r="DO32" s="140"/>
      <c r="DP32" s="140"/>
      <c r="DQ32" s="140"/>
      <c r="DR32" s="140"/>
      <c r="DS32" s="140"/>
      <c r="DT32" s="140"/>
    </row>
    <row r="33" spans="1:124" s="4" customFormat="1" ht="18" thickBot="1" x14ac:dyDescent="0.25">
      <c r="A33" s="90"/>
      <c r="B33" s="8"/>
      <c r="C33" s="8" t="s">
        <v>107</v>
      </c>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23"/>
      <c r="AI33" s="8"/>
      <c r="AJ33" s="8" t="s">
        <v>107</v>
      </c>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9"/>
      <c r="BO33"/>
      <c r="CA33" s="98"/>
      <c r="CF33" s="137"/>
      <c r="CG33" s="138" t="s">
        <v>129</v>
      </c>
      <c r="CH33" s="137"/>
      <c r="CI33" s="137"/>
      <c r="CJ33" s="137" t="s">
        <v>130</v>
      </c>
      <c r="CK33" s="137" t="s">
        <v>131</v>
      </c>
      <c r="CL33" s="137" t="s">
        <v>134</v>
      </c>
      <c r="CM33" s="137" t="s">
        <v>135</v>
      </c>
      <c r="CN33" s="137" t="s">
        <v>144</v>
      </c>
      <c r="CO33" s="137" t="s">
        <v>122</v>
      </c>
      <c r="CP33" s="137"/>
      <c r="CQ33" s="137"/>
      <c r="CR33" s="137"/>
      <c r="CS33" s="137"/>
      <c r="CT33" s="137"/>
      <c r="CU33" s="137"/>
      <c r="CV33" s="137"/>
      <c r="CW33" s="137"/>
      <c r="CX33" s="137"/>
      <c r="CY33" s="137"/>
      <c r="CZ33" s="137"/>
      <c r="DA33" s="137"/>
      <c r="DB33" s="137"/>
      <c r="DC33" s="137"/>
      <c r="DD33" s="137"/>
      <c r="DE33" s="137"/>
      <c r="DF33" s="137"/>
      <c r="DG33" s="137"/>
      <c r="DH33" s="137"/>
      <c r="DI33" s="137"/>
      <c r="DJ33" s="137"/>
      <c r="DK33" s="137"/>
      <c r="DL33" s="137"/>
      <c r="DM33" s="137"/>
      <c r="DN33" s="137"/>
      <c r="DO33" s="137"/>
      <c r="DP33" s="137"/>
      <c r="DQ33" s="137"/>
      <c r="DR33" s="137"/>
      <c r="DS33" s="137"/>
      <c r="DT33" s="137"/>
    </row>
    <row r="34" spans="1:124" s="4" customFormat="1" ht="18" thickTop="1" x14ac:dyDescent="0.2">
      <c r="A34" s="92"/>
      <c r="B34" s="8"/>
      <c r="C34" s="8"/>
      <c r="D34" s="45" t="s">
        <v>20</v>
      </c>
      <c r="E34" s="45"/>
      <c r="F34" s="45"/>
      <c r="G34" s="45"/>
      <c r="H34" s="45"/>
      <c r="I34" s="45" t="s">
        <v>89</v>
      </c>
      <c r="J34" s="45"/>
      <c r="K34" s="45"/>
      <c r="L34" s="45"/>
      <c r="M34" s="45" t="s">
        <v>91</v>
      </c>
      <c r="N34" s="45"/>
      <c r="O34" s="45"/>
      <c r="P34" s="45"/>
      <c r="Q34" s="45"/>
      <c r="R34" s="45"/>
      <c r="S34" s="45" t="s">
        <v>21</v>
      </c>
      <c r="T34" s="45"/>
      <c r="U34" s="45"/>
      <c r="V34" s="45"/>
      <c r="W34" s="45"/>
      <c r="X34" s="45" t="s">
        <v>94</v>
      </c>
      <c r="Y34" s="45"/>
      <c r="Z34" s="45"/>
      <c r="AA34" s="45"/>
      <c r="AB34" s="8"/>
      <c r="AC34" s="8"/>
      <c r="AD34" s="8"/>
      <c r="AE34" s="8"/>
      <c r="AF34" s="8"/>
      <c r="AG34" s="8"/>
      <c r="AH34" s="23"/>
      <c r="AI34" s="8"/>
      <c r="AJ34" s="8"/>
      <c r="AK34" s="45" t="s">
        <v>20</v>
      </c>
      <c r="AL34" s="45"/>
      <c r="AM34" s="45"/>
      <c r="AN34" s="45"/>
      <c r="AO34" s="45"/>
      <c r="AP34" s="45" t="s">
        <v>89</v>
      </c>
      <c r="AQ34" s="45"/>
      <c r="AR34" s="45"/>
      <c r="AS34" s="45"/>
      <c r="AT34" s="45" t="s">
        <v>91</v>
      </c>
      <c r="AU34" s="45"/>
      <c r="AV34" s="45"/>
      <c r="AW34" s="45"/>
      <c r="AX34" s="45"/>
      <c r="AY34" s="45"/>
      <c r="AZ34" s="45" t="s">
        <v>21</v>
      </c>
      <c r="BA34" s="45"/>
      <c r="BB34" s="45"/>
      <c r="BC34" s="45"/>
      <c r="BD34" s="45"/>
      <c r="BE34" s="45" t="s">
        <v>110</v>
      </c>
      <c r="BF34" s="8"/>
      <c r="BG34" s="8"/>
      <c r="BH34" s="8"/>
      <c r="BI34" s="8"/>
      <c r="BJ34" s="8"/>
      <c r="BK34" s="8"/>
      <c r="BL34" s="8"/>
      <c r="BM34" s="8"/>
      <c r="BN34" s="89"/>
      <c r="BO34"/>
      <c r="CA34" s="98"/>
      <c r="CF34" s="140"/>
      <c r="CG34" s="470" t="s">
        <v>79</v>
      </c>
      <c r="CH34" s="470"/>
      <c r="CI34" s="470"/>
      <c r="CJ34" s="169">
        <f>IF(CJ9=CG15,1,0)</f>
        <v>0</v>
      </c>
      <c r="CK34" s="169">
        <f>IF(CJ34=1,IF(試算シート!I16=CG30,1,0),0)</f>
        <v>0</v>
      </c>
      <c r="CL34" s="169">
        <f>IF(CJ9=CG23,1,0)</f>
        <v>0</v>
      </c>
      <c r="CM34" s="169">
        <f>IF(CJ9=CG22,1,0)</f>
        <v>0</v>
      </c>
      <c r="CN34" s="169">
        <f>IF(CJ34=1,IF(SUM(CL35:CL39)&gt;0,IF(試算シート!I16=CG31,1,0),0),0)</f>
        <v>0</v>
      </c>
      <c r="CO34" s="169">
        <f>IF(CJ9=CG15,IF(試算シート!I16=CG31,1,0),0)</f>
        <v>0</v>
      </c>
      <c r="CP34" s="140"/>
      <c r="CQ34" s="140"/>
      <c r="CR34" s="140"/>
      <c r="CS34" s="140"/>
      <c r="CT34" s="187" t="s">
        <v>207</v>
      </c>
      <c r="CU34" s="238" t="s">
        <v>222</v>
      </c>
      <c r="CV34" s="238"/>
      <c r="CW34" s="238"/>
      <c r="CX34" s="238"/>
      <c r="CY34" s="239"/>
      <c r="CZ34" s="462">
        <f>IF(CQ2=0,0,試算表!X35)</f>
        <v>0</v>
      </c>
      <c r="DA34" s="463"/>
      <c r="DB34" s="463"/>
      <c r="DC34" s="463"/>
      <c r="DD34" s="464"/>
      <c r="DE34" s="140"/>
      <c r="DF34" s="140"/>
      <c r="DG34" s="227" t="s">
        <v>237</v>
      </c>
      <c r="DH34" s="228"/>
      <c r="DI34" s="228"/>
      <c r="DJ34" s="225"/>
      <c r="DK34" s="560">
        <f>IF(CQ2=0,0,試算表!BF41)</f>
        <v>0</v>
      </c>
      <c r="DL34" s="561"/>
      <c r="DM34" s="225" t="s">
        <v>68</v>
      </c>
      <c r="DN34" s="140"/>
      <c r="DO34" s="140"/>
      <c r="DP34" s="140"/>
      <c r="DQ34" s="140"/>
      <c r="DR34" s="140"/>
      <c r="DS34" s="140"/>
      <c r="DT34" s="140"/>
    </row>
    <row r="35" spans="1:124" s="4" customFormat="1" ht="13.5" customHeight="1" thickBot="1" x14ac:dyDescent="0.25">
      <c r="A35" s="93"/>
      <c r="B35" s="8"/>
      <c r="C35" s="8"/>
      <c r="D35" s="406">
        <f>W26</f>
        <v>0</v>
      </c>
      <c r="E35" s="407"/>
      <c r="F35" s="407"/>
      <c r="G35" s="408"/>
      <c r="H35" s="7" t="s">
        <v>90</v>
      </c>
      <c r="I35" s="406">
        <f>BP13+BT13+BX13</f>
        <v>0</v>
      </c>
      <c r="J35" s="407"/>
      <c r="K35" s="407"/>
      <c r="L35" s="408"/>
      <c r="M35" s="7" t="s">
        <v>90</v>
      </c>
      <c r="N35" s="406">
        <f>CB7+CB9</f>
        <v>6240</v>
      </c>
      <c r="O35" s="407"/>
      <c r="P35" s="407"/>
      <c r="Q35" s="408"/>
      <c r="R35" s="7" t="s">
        <v>92</v>
      </c>
      <c r="S35" s="406">
        <f>D35+I35+N35</f>
        <v>6240</v>
      </c>
      <c r="T35" s="407"/>
      <c r="U35" s="407"/>
      <c r="V35" s="408"/>
      <c r="W35" s="7" t="s">
        <v>93</v>
      </c>
      <c r="X35" s="411">
        <f>IF(S35&gt;料率!E35,料率!E35,ROUNDDOWN(S35,-2))</f>
        <v>6200</v>
      </c>
      <c r="Y35" s="412"/>
      <c r="Z35" s="412"/>
      <c r="AA35" s="413"/>
      <c r="AB35" s="8"/>
      <c r="AC35" s="8"/>
      <c r="AD35" s="8"/>
      <c r="AE35" s="8"/>
      <c r="AF35" s="8"/>
      <c r="AG35" s="8"/>
      <c r="AH35" s="23"/>
      <c r="AI35" s="8"/>
      <c r="AJ35" s="8"/>
      <c r="AK35" s="406">
        <f>BD26</f>
        <v>0</v>
      </c>
      <c r="AL35" s="407"/>
      <c r="AM35" s="407"/>
      <c r="AN35" s="408"/>
      <c r="AO35" s="7" t="s">
        <v>90</v>
      </c>
      <c r="AP35" s="406">
        <f>IF(AP32=0,0,IF(AB4="",AP32,IF(AB4="７割軽減",AP32+(L6*料率!B20),IF(AB4="５割軽減",AP32+(L6*料率!F20),IF(AB4="２割軽減",AP32+(L6*料率!J20))))))</f>
        <v>0</v>
      </c>
      <c r="AQ35" s="407"/>
      <c r="AR35" s="407"/>
      <c r="AS35" s="408"/>
      <c r="AT35" s="7" t="s">
        <v>90</v>
      </c>
      <c r="AU35" s="411">
        <f>IF(AU32=0,0,IF(AB4="７割軽減",AU32+料率!D20,IF(AB4="５割軽減",AU32+料率!H20,IF(AB4="２割軽減",AU32+料率!L20,AU32))))</f>
        <v>0</v>
      </c>
      <c r="AV35" s="412"/>
      <c r="AW35" s="412"/>
      <c r="AX35" s="413"/>
      <c r="AY35" s="7" t="s">
        <v>92</v>
      </c>
      <c r="AZ35" s="406">
        <f>AK35+AP35+AU35</f>
        <v>0</v>
      </c>
      <c r="BA35" s="407"/>
      <c r="BB35" s="407"/>
      <c r="BC35" s="408"/>
      <c r="BD35" s="7" t="s">
        <v>93</v>
      </c>
      <c r="BE35" s="411">
        <f>IF(AZ35&gt;料率!E36,料率!E36,ROUNDDOWN(AZ35,-2))</f>
        <v>0</v>
      </c>
      <c r="BF35" s="412"/>
      <c r="BG35" s="412"/>
      <c r="BH35" s="413"/>
      <c r="BI35" s="8"/>
      <c r="BJ35" s="8"/>
      <c r="BK35" s="8"/>
      <c r="BL35" s="8"/>
      <c r="BM35" s="8"/>
      <c r="BN35" s="89"/>
      <c r="BO35"/>
      <c r="CA35" s="98"/>
      <c r="CF35" s="140"/>
      <c r="CG35" s="470" t="s">
        <v>123</v>
      </c>
      <c r="CH35" s="470"/>
      <c r="CI35" s="470"/>
      <c r="CJ35" s="169">
        <f>IF(CP9=CG21,1,0)</f>
        <v>0</v>
      </c>
      <c r="CK35" s="169">
        <f>IF(CJ35=1,IF(試算シート!N16=CG30,1,0),0)</f>
        <v>0</v>
      </c>
      <c r="CL35" s="169">
        <f>IF(CP9=CG23,1,0)</f>
        <v>0</v>
      </c>
      <c r="CM35" s="169">
        <f>IF(CP9=CG22,1,0)</f>
        <v>0</v>
      </c>
      <c r="CN35" s="169">
        <f>IF(CJ35=1,IF((CL34+CL35+CL36+CL37+CL38+CL39)&gt;0,IF(試算シート!N16=CG31,1,0),0),0)</f>
        <v>0</v>
      </c>
      <c r="CO35" s="169">
        <f>IF(CP9=CG21,IF(試算シート!N16=CG31,1,0),0)</f>
        <v>0</v>
      </c>
      <c r="CP35" s="140"/>
      <c r="CQ35" s="140"/>
      <c r="CR35" s="140"/>
      <c r="CS35" s="140"/>
      <c r="CT35" s="187" t="s">
        <v>209</v>
      </c>
      <c r="CU35" s="238" t="s">
        <v>224</v>
      </c>
      <c r="CV35" s="238"/>
      <c r="CW35" s="238"/>
      <c r="CX35" s="238"/>
      <c r="CY35" s="239"/>
      <c r="CZ35" s="462">
        <f>IF(CQ2=0,0,試算表!X63)</f>
        <v>0</v>
      </c>
      <c r="DA35" s="463"/>
      <c r="DB35" s="463"/>
      <c r="DC35" s="463"/>
      <c r="DD35" s="464"/>
      <c r="DE35" s="140"/>
      <c r="DF35" s="140"/>
      <c r="DG35" s="229"/>
      <c r="DH35" s="230"/>
      <c r="DI35" s="230"/>
      <c r="DJ35" s="226"/>
      <c r="DK35" s="562"/>
      <c r="DL35" s="563"/>
      <c r="DM35" s="226"/>
      <c r="DN35" s="140"/>
      <c r="DO35" s="140"/>
      <c r="DP35" s="140"/>
      <c r="DQ35" s="140"/>
      <c r="DR35" s="140"/>
      <c r="DS35" s="140"/>
      <c r="DT35" s="140"/>
    </row>
    <row r="36" spans="1:124" s="4" customFormat="1" ht="13.5" customHeight="1" thickTop="1" x14ac:dyDescent="0.2">
      <c r="A36" s="93"/>
      <c r="B36" s="8"/>
      <c r="C36" s="8"/>
      <c r="D36" s="9"/>
      <c r="E36" s="7"/>
      <c r="F36" s="7"/>
      <c r="G36" s="7"/>
      <c r="H36" s="7"/>
      <c r="I36" s="9"/>
      <c r="J36" s="7"/>
      <c r="K36" s="7"/>
      <c r="L36" s="7"/>
      <c r="M36" s="7"/>
      <c r="N36" s="9"/>
      <c r="O36" s="7"/>
      <c r="P36" s="7"/>
      <c r="Q36" s="7"/>
      <c r="R36" s="7"/>
      <c r="S36" s="9"/>
      <c r="T36" s="7"/>
      <c r="U36" s="7"/>
      <c r="V36" s="7"/>
      <c r="W36" s="7"/>
      <c r="X36" s="24"/>
      <c r="Y36" s="24"/>
      <c r="Z36" s="24"/>
      <c r="AA36" s="24"/>
      <c r="AB36" s="8"/>
      <c r="AC36" s="8"/>
      <c r="AD36" s="8"/>
      <c r="AE36" s="8"/>
      <c r="AF36" s="8"/>
      <c r="AG36" s="8"/>
      <c r="AH36" s="23"/>
      <c r="AI36" s="8"/>
      <c r="AJ36" s="8"/>
      <c r="AK36" s="9"/>
      <c r="AL36" s="7"/>
      <c r="AM36" s="7"/>
      <c r="AN36" s="7"/>
      <c r="AO36" s="7"/>
      <c r="AP36" s="9"/>
      <c r="AQ36" s="7"/>
      <c r="AR36" s="7"/>
      <c r="AS36" s="7"/>
      <c r="AT36" s="7"/>
      <c r="AU36" s="24"/>
      <c r="AV36" s="24"/>
      <c r="AW36" s="24"/>
      <c r="AX36" s="24"/>
      <c r="AY36" s="7"/>
      <c r="AZ36" s="9"/>
      <c r="BA36" s="7"/>
      <c r="BB36" s="7"/>
      <c r="BC36" s="7"/>
      <c r="BD36" s="7"/>
      <c r="BE36" s="24"/>
      <c r="BF36" s="24"/>
      <c r="BG36" s="24"/>
      <c r="BH36" s="24"/>
      <c r="BI36" s="8"/>
      <c r="BJ36" s="8"/>
      <c r="BK36" s="8"/>
      <c r="BL36" s="8"/>
      <c r="BM36" s="8"/>
      <c r="BN36" s="89"/>
      <c r="BO36"/>
      <c r="CA36" s="98"/>
      <c r="CF36" s="140"/>
      <c r="CG36" s="470" t="s">
        <v>124</v>
      </c>
      <c r="CH36" s="470"/>
      <c r="CI36" s="470"/>
      <c r="CJ36" s="169">
        <f>IF(CU9=CG21,1,0)</f>
        <v>0</v>
      </c>
      <c r="CK36" s="169">
        <f>IF(CJ36=1,IF(試算シート!R16=CG30,1,0),0)</f>
        <v>0</v>
      </c>
      <c r="CL36" s="169">
        <f>IF(CU9=CG23,1,0)</f>
        <v>0</v>
      </c>
      <c r="CM36" s="169">
        <f>IF(CU9=CG22,1,0)</f>
        <v>0</v>
      </c>
      <c r="CN36" s="169">
        <f>IF(CJ36=1,IF((CL34+CL35+CL36+CL37+CL38+CL39)&gt;0,IF(試算シート!R16=CG31,1,0),0),0)</f>
        <v>0</v>
      </c>
      <c r="CO36" s="169">
        <f>IF(CU9=CG21,IF(試算シート!R16=CG31,1,0),0)</f>
        <v>0</v>
      </c>
      <c r="CP36" s="140"/>
      <c r="CQ36" s="140"/>
      <c r="CR36" s="140"/>
      <c r="CS36" s="140"/>
      <c r="CT36" s="187" t="s">
        <v>211</v>
      </c>
      <c r="CU36" s="238" t="s">
        <v>225</v>
      </c>
      <c r="CV36" s="238"/>
      <c r="CW36" s="238"/>
      <c r="CX36" s="238"/>
      <c r="CY36" s="239"/>
      <c r="CZ36" s="462">
        <f>IF(CQ2=0,0,試算表!BE35)</f>
        <v>0</v>
      </c>
      <c r="DA36" s="463"/>
      <c r="DB36" s="463"/>
      <c r="DC36" s="463"/>
      <c r="DD36" s="464"/>
      <c r="DE36" s="140"/>
      <c r="DF36" s="140"/>
      <c r="DG36" s="140"/>
      <c r="DH36" s="140"/>
      <c r="DI36" s="140"/>
      <c r="DJ36" s="140"/>
      <c r="DK36" s="140"/>
      <c r="DL36" s="140"/>
      <c r="DM36" s="140"/>
      <c r="DN36" s="140"/>
      <c r="DO36" s="140"/>
      <c r="DP36" s="140"/>
      <c r="DQ36" s="140"/>
      <c r="DR36" s="140"/>
      <c r="DS36" s="140"/>
      <c r="DT36" s="140"/>
    </row>
    <row r="37" spans="1:124" s="4" customFormat="1" x14ac:dyDescent="0.2">
      <c r="A37" s="90"/>
      <c r="B37" s="72" t="s">
        <v>174</v>
      </c>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23"/>
      <c r="AI37" s="8"/>
      <c r="AJ37" s="8"/>
      <c r="AK37" s="9"/>
      <c r="AL37" s="7"/>
      <c r="AM37" s="7"/>
      <c r="AN37" s="7"/>
      <c r="AO37" s="7"/>
      <c r="AP37" s="9"/>
      <c r="AQ37" s="7"/>
      <c r="AR37" s="7"/>
      <c r="AS37" s="7"/>
      <c r="AT37" s="7"/>
      <c r="AU37" s="24"/>
      <c r="AV37" s="24"/>
      <c r="AW37" s="24"/>
      <c r="AX37" s="24"/>
      <c r="AY37" s="7"/>
      <c r="AZ37" s="9"/>
      <c r="BA37" s="7"/>
      <c r="BB37" s="7"/>
      <c r="BC37" s="7"/>
      <c r="BD37" s="7"/>
      <c r="BE37" s="24"/>
      <c r="BF37" s="24"/>
      <c r="BG37" s="24"/>
      <c r="BH37" s="24"/>
      <c r="BI37" s="8"/>
      <c r="BJ37" s="8"/>
      <c r="BK37" s="8"/>
      <c r="BL37" s="8"/>
      <c r="BM37" s="23"/>
      <c r="BN37" s="89"/>
      <c r="BO37"/>
      <c r="CA37" s="98"/>
      <c r="CF37" s="140"/>
      <c r="CG37" s="470" t="s">
        <v>125</v>
      </c>
      <c r="CH37" s="470"/>
      <c r="CI37" s="470"/>
      <c r="CJ37" s="169">
        <f>IF(CZ9=CG21,1,0)</f>
        <v>0</v>
      </c>
      <c r="CK37" s="169">
        <f>IF(CJ37=1,IF(試算シート!V16=CG30,1,0),0)</f>
        <v>0</v>
      </c>
      <c r="CL37" s="169">
        <f>IF(CZ9=CG23,1,0)</f>
        <v>0</v>
      </c>
      <c r="CM37" s="169">
        <f>IF(CZ9=CG22,1,0)</f>
        <v>0</v>
      </c>
      <c r="CN37" s="169">
        <f>IF(CJ37=1,IF((CL34+CL35+CL36+CL37+CL38+CL39)&gt;0,IF(試算シート!V16=CG31,1,0),0),0)</f>
        <v>0</v>
      </c>
      <c r="CO37" s="169">
        <f>IF(CZ9=CG21,IF(試算シート!V16=CG31,1,0),0)</f>
        <v>0</v>
      </c>
      <c r="CP37" s="140"/>
      <c r="CQ37" s="140"/>
      <c r="CR37" s="140"/>
      <c r="CS37" s="140"/>
      <c r="CT37" s="240" t="s">
        <v>227</v>
      </c>
      <c r="CU37" s="241"/>
      <c r="CV37" s="241"/>
      <c r="CW37" s="241"/>
      <c r="CX37" s="241"/>
      <c r="CY37" s="242"/>
      <c r="CZ37" s="462">
        <f>CZ34+CZ36+CZ35</f>
        <v>0</v>
      </c>
      <c r="DA37" s="463"/>
      <c r="DB37" s="463"/>
      <c r="DC37" s="463"/>
      <c r="DD37" s="464"/>
      <c r="DE37" s="140"/>
      <c r="DF37" s="140"/>
      <c r="DG37" s="140"/>
      <c r="DH37" s="140"/>
      <c r="DI37" s="140"/>
      <c r="DJ37" s="140"/>
      <c r="DK37" s="140"/>
      <c r="DL37" s="140"/>
      <c r="DM37" s="140"/>
      <c r="DN37" s="140"/>
      <c r="DO37" s="140"/>
      <c r="DP37" s="140"/>
      <c r="DQ37" s="140"/>
      <c r="DR37" s="140"/>
      <c r="DS37" s="140"/>
      <c r="DT37" s="140"/>
    </row>
    <row r="38" spans="1:124" s="4" customFormat="1" x14ac:dyDescent="0.2">
      <c r="A38" s="90"/>
      <c r="B38" s="8"/>
      <c r="C38" s="8" t="s">
        <v>73</v>
      </c>
      <c r="D38" s="8"/>
      <c r="E38" s="8"/>
      <c r="F38" s="8"/>
      <c r="G38" s="8"/>
      <c r="H38" s="8"/>
      <c r="I38" s="8"/>
      <c r="J38" s="8"/>
      <c r="K38" s="8"/>
      <c r="L38" s="8"/>
      <c r="M38" s="8"/>
      <c r="N38" s="8"/>
      <c r="O38" s="8"/>
      <c r="P38" s="8"/>
      <c r="Q38" s="8"/>
      <c r="R38" s="8"/>
      <c r="S38" s="8"/>
      <c r="T38" s="8"/>
      <c r="U38" s="8"/>
      <c r="V38" s="8"/>
      <c r="W38" s="8"/>
      <c r="X38" s="8"/>
      <c r="Y38" s="8"/>
      <c r="Z38" s="8"/>
      <c r="AA38" s="8"/>
      <c r="AB38" s="8" t="s">
        <v>75</v>
      </c>
      <c r="AC38" s="8"/>
      <c r="AD38" s="8"/>
      <c r="AE38" s="8"/>
      <c r="AF38" s="8"/>
      <c r="AG38" s="8"/>
      <c r="AH38" s="23"/>
      <c r="AI38" s="8"/>
      <c r="AJ38" s="8"/>
      <c r="AK38" s="9"/>
      <c r="AL38" s="7"/>
      <c r="AM38" s="7"/>
      <c r="AN38" s="7"/>
      <c r="AO38" s="7"/>
      <c r="AP38" s="9"/>
      <c r="AQ38" s="7"/>
      <c r="AR38" s="7"/>
      <c r="AS38" s="7"/>
      <c r="AT38" s="7"/>
      <c r="AU38" s="24"/>
      <c r="AV38" s="24"/>
      <c r="AW38" s="24"/>
      <c r="AX38" s="24"/>
      <c r="AY38" s="7"/>
      <c r="AZ38" s="9"/>
      <c r="BA38" s="7"/>
      <c r="BB38" s="7"/>
      <c r="BC38" s="7"/>
      <c r="BD38" s="7"/>
      <c r="BE38" s="24"/>
      <c r="BF38" s="24"/>
      <c r="BG38" s="24"/>
      <c r="BH38" s="24"/>
      <c r="BI38" s="8"/>
      <c r="BJ38" s="8"/>
      <c r="BK38" s="8"/>
      <c r="BL38" s="8"/>
      <c r="BM38" s="23"/>
      <c r="BN38" s="89"/>
      <c r="CA38" s="98"/>
      <c r="CF38" s="140"/>
      <c r="CG38" s="470" t="s">
        <v>126</v>
      </c>
      <c r="CH38" s="470"/>
      <c r="CI38" s="470"/>
      <c r="CJ38" s="169">
        <f>IF(DE9=CG21,1,0)</f>
        <v>0</v>
      </c>
      <c r="CK38" s="169">
        <f>IF(CJ38=1,IF(試算シート!Z16=CG30,1,0),0)</f>
        <v>0</v>
      </c>
      <c r="CL38" s="169">
        <f>IF(DE9=CG23,1,0)</f>
        <v>0</v>
      </c>
      <c r="CM38" s="169">
        <f>IF(DE9=CG22,1,0)</f>
        <v>0</v>
      </c>
      <c r="CN38" s="169">
        <f>IF(CJ38=1,IF((CL34+CL35+CL36+CL37+CL38+CL39)&gt;0,IF(試算シート!Z16=CG31,1,0),0),0)</f>
        <v>0</v>
      </c>
      <c r="CO38" s="169">
        <f>IF(DE9=CG21,IF(試算シート!Z16=CG31,1,0),0)</f>
        <v>0</v>
      </c>
      <c r="CP38" s="140"/>
      <c r="CQ38" s="140"/>
      <c r="CR38" s="140"/>
      <c r="CS38" s="140"/>
      <c r="CT38" s="140"/>
      <c r="CU38" s="140"/>
      <c r="CV38" s="140"/>
      <c r="CW38" s="140"/>
      <c r="CX38" s="140"/>
      <c r="CY38" s="140"/>
      <c r="CZ38" s="140"/>
      <c r="DA38" s="140"/>
      <c r="DB38" s="140"/>
      <c r="DC38" s="140"/>
      <c r="DD38" s="140"/>
      <c r="DE38" s="140"/>
      <c r="DF38" s="140"/>
      <c r="DG38" s="140"/>
      <c r="DH38" s="140"/>
      <c r="DI38" s="140"/>
      <c r="DJ38" s="140"/>
      <c r="DK38" s="140"/>
      <c r="DL38" s="140"/>
      <c r="DM38" s="140"/>
      <c r="DN38" s="140"/>
      <c r="DO38" s="140"/>
      <c r="DP38" s="140"/>
      <c r="DQ38" s="140"/>
      <c r="DR38" s="140"/>
      <c r="DS38" s="140"/>
      <c r="DT38" s="140"/>
    </row>
    <row r="39" spans="1:124" s="4" customFormat="1" x14ac:dyDescent="0.2">
      <c r="A39" s="90"/>
      <c r="B39" s="8"/>
      <c r="C39" s="8"/>
      <c r="D39" s="8"/>
      <c r="E39" s="8"/>
      <c r="F39" s="8"/>
      <c r="G39" s="8" t="s">
        <v>66</v>
      </c>
      <c r="H39" s="8"/>
      <c r="I39" s="8"/>
      <c r="J39" s="8"/>
      <c r="K39" s="8"/>
      <c r="L39" s="8"/>
      <c r="M39" s="8"/>
      <c r="N39" s="8"/>
      <c r="O39" s="8"/>
      <c r="P39" s="8"/>
      <c r="Q39" s="73"/>
      <c r="R39" s="8"/>
      <c r="S39" s="8"/>
      <c r="T39" s="8"/>
      <c r="U39" s="8"/>
      <c r="V39" s="8"/>
      <c r="W39" s="8"/>
      <c r="X39" s="8"/>
      <c r="Y39" s="8"/>
      <c r="Z39" s="8"/>
      <c r="AA39" s="8"/>
      <c r="AB39" s="8"/>
      <c r="AC39" s="8"/>
      <c r="AD39" s="8"/>
      <c r="AE39" s="8"/>
      <c r="AF39" s="8"/>
      <c r="AG39" s="8"/>
      <c r="AH39" s="23"/>
      <c r="AI39" s="8"/>
      <c r="AJ39" s="8"/>
      <c r="AK39" s="9"/>
      <c r="AL39" s="7"/>
      <c r="AM39" s="7"/>
      <c r="AN39" s="7"/>
      <c r="AO39" s="7"/>
      <c r="AP39" s="9"/>
      <c r="AQ39" s="7"/>
      <c r="AR39" s="7"/>
      <c r="AS39" s="7"/>
      <c r="AT39" s="7"/>
      <c r="AU39" s="24"/>
      <c r="AV39" s="24"/>
      <c r="AW39" s="24"/>
      <c r="AX39" s="24"/>
      <c r="AY39" s="7"/>
      <c r="AZ39" s="9"/>
      <c r="BA39" s="7"/>
      <c r="BB39" s="7"/>
      <c r="BC39" s="7"/>
      <c r="BD39" s="7"/>
      <c r="BE39" s="24"/>
      <c r="BF39" s="24"/>
      <c r="BG39" s="24"/>
      <c r="BH39" s="24"/>
      <c r="BI39" s="8"/>
      <c r="BJ39" s="8"/>
      <c r="BK39" s="8"/>
      <c r="BL39" s="8"/>
      <c r="BM39" s="23"/>
      <c r="BN39" s="89"/>
      <c r="CA39" s="98"/>
      <c r="CF39" s="140"/>
      <c r="CG39" s="470" t="s">
        <v>128</v>
      </c>
      <c r="CH39" s="470"/>
      <c r="CI39" s="470"/>
      <c r="CJ39" s="169">
        <f>IF(DO9=CG21,1,0)</f>
        <v>0</v>
      </c>
      <c r="CK39" s="169">
        <f>IF(CJ39=1,IF(DO10=CG30,1,0),0)</f>
        <v>0</v>
      </c>
      <c r="CL39" s="169">
        <f>IF(DO9=CG23,1,0)</f>
        <v>0</v>
      </c>
      <c r="CM39" s="169">
        <f>IF(DO9=CG22,1,0)</f>
        <v>0</v>
      </c>
      <c r="CN39" s="169">
        <f>IF(CJ39=1,IF((CL34+CL35+CL36+CL37+CL38+CL39)&gt;0,IF(DO10=CG31,1,0),0),0)</f>
        <v>0</v>
      </c>
      <c r="CO39" s="169">
        <f>IF(DO9=CG21,IF(DO10=CG31,1,0),0)</f>
        <v>0</v>
      </c>
      <c r="CP39" s="140"/>
      <c r="CQ39" s="140"/>
      <c r="CR39" s="140"/>
      <c r="CS39" s="140"/>
      <c r="CT39" s="140"/>
      <c r="CU39" s="140"/>
      <c r="CV39" s="140"/>
      <c r="CW39" s="140"/>
      <c r="CX39" s="140"/>
      <c r="CY39" s="140"/>
      <c r="CZ39" s="140"/>
      <c r="DA39" s="140"/>
      <c r="DB39" s="140"/>
      <c r="DC39" s="140"/>
      <c r="DD39" s="140"/>
      <c r="DE39" s="140"/>
      <c r="DF39" s="140"/>
      <c r="DG39" s="140"/>
      <c r="DH39" s="140"/>
      <c r="DI39" s="140"/>
      <c r="DJ39" s="140"/>
      <c r="DK39" s="140"/>
      <c r="DL39" s="140"/>
      <c r="DM39" s="140"/>
      <c r="DN39" s="140"/>
      <c r="DO39" s="140"/>
      <c r="DP39" s="140"/>
      <c r="DQ39" s="140"/>
      <c r="DR39" s="140"/>
      <c r="DS39" s="140"/>
      <c r="DT39" s="140"/>
    </row>
    <row r="40" spans="1:124" s="4" customFormat="1" ht="18" thickBot="1" x14ac:dyDescent="0.25">
      <c r="A40" s="90"/>
      <c r="B40" s="8"/>
      <c r="C40" s="397" t="str">
        <f>IF(試算表!CJ9=試算表!CG15,試算表!CG15,"擬制世帯主")</f>
        <v>擬制世帯主</v>
      </c>
      <c r="D40" s="397"/>
      <c r="E40" s="397"/>
      <c r="F40" s="7" t="s">
        <v>70</v>
      </c>
      <c r="G40" s="372">
        <f>試算表!CM42</f>
        <v>0</v>
      </c>
      <c r="H40" s="372"/>
      <c r="I40" s="372"/>
      <c r="J40" s="372"/>
      <c r="K40" s="8" t="s">
        <v>68</v>
      </c>
      <c r="L40" s="7" t="s">
        <v>69</v>
      </c>
      <c r="M40" s="398">
        <f>料率!E32</f>
        <v>430000</v>
      </c>
      <c r="N40" s="398"/>
      <c r="O40" s="398"/>
      <c r="P40" s="8" t="s">
        <v>68</v>
      </c>
      <c r="Q40" s="8" t="s">
        <v>74</v>
      </c>
      <c r="R40" s="399">
        <f>料率!V6</f>
        <v>2.7</v>
      </c>
      <c r="S40" s="399"/>
      <c r="T40" s="7" t="s">
        <v>71</v>
      </c>
      <c r="U40" s="373">
        <v>100</v>
      </c>
      <c r="V40" s="373"/>
      <c r="W40" s="7" t="s">
        <v>72</v>
      </c>
      <c r="X40" s="439">
        <f>IF(試算表!CN34=1,0,IF(G40-M40&lt;0,0,ROUNDDOWN((G40-M40)*R40/U40,0)))</f>
        <v>0</v>
      </c>
      <c r="Y40" s="439"/>
      <c r="Z40" s="439"/>
      <c r="AA40" s="7"/>
      <c r="AB40" s="7" t="s">
        <v>82</v>
      </c>
      <c r="AC40" s="372">
        <f>IF(試算表!CJ34=1,料率!Z6,0)</f>
        <v>0</v>
      </c>
      <c r="AD40" s="372"/>
      <c r="AE40" s="372"/>
      <c r="AF40" s="8"/>
      <c r="AG40" s="8"/>
      <c r="AH40" s="8"/>
      <c r="AI40" s="23"/>
      <c r="AJ40" s="8"/>
      <c r="AK40" s="8"/>
      <c r="AL40" s="9"/>
      <c r="AM40" s="7"/>
      <c r="AN40" s="7"/>
      <c r="AO40" s="7"/>
      <c r="AP40" s="7"/>
      <c r="AQ40" s="9"/>
      <c r="AR40" s="7"/>
      <c r="AS40" s="7"/>
      <c r="AT40" s="7"/>
      <c r="AU40" s="7"/>
      <c r="AV40" s="24"/>
      <c r="AW40" s="24"/>
      <c r="AX40" s="24"/>
      <c r="AY40" s="24"/>
      <c r="AZ40" s="7"/>
      <c r="BA40" s="9"/>
      <c r="BB40" s="7"/>
      <c r="BC40" s="7"/>
      <c r="BD40" s="7"/>
      <c r="BE40" s="7"/>
      <c r="BF40" s="24"/>
      <c r="BG40" s="24"/>
      <c r="BH40" s="24"/>
      <c r="BI40" s="24"/>
      <c r="BJ40" s="8"/>
      <c r="BK40" s="8"/>
      <c r="BL40" s="8"/>
      <c r="BM40" s="8"/>
      <c r="BN40" s="89"/>
      <c r="CA40" s="98"/>
      <c r="CF40" s="140"/>
      <c r="CG40" s="140"/>
      <c r="CH40" s="140"/>
      <c r="CI40" s="140"/>
      <c r="CJ40" s="140"/>
      <c r="CK40" s="140"/>
      <c r="CL40" s="140"/>
      <c r="CM40" s="140"/>
      <c r="CN40" s="140"/>
      <c r="CO40" s="140"/>
      <c r="CP40" s="140"/>
      <c r="CQ40" s="140"/>
      <c r="CR40" s="140"/>
      <c r="CS40" s="140"/>
      <c r="CT40" s="140"/>
      <c r="CU40" s="140"/>
      <c r="CV40" s="140"/>
      <c r="CW40" s="140"/>
      <c r="CX40" s="140"/>
      <c r="CY40" s="140"/>
      <c r="CZ40" s="140"/>
      <c r="DA40" s="140"/>
      <c r="DB40" s="140"/>
      <c r="DC40" s="140"/>
      <c r="DD40" s="140"/>
      <c r="DE40" s="140"/>
      <c r="DF40" s="140"/>
      <c r="DG40" s="140"/>
      <c r="DH40" s="140"/>
      <c r="DI40" s="140"/>
      <c r="DJ40" s="140"/>
      <c r="DK40" s="140"/>
      <c r="DL40" s="140"/>
      <c r="DM40" s="140"/>
      <c r="DN40" s="140"/>
      <c r="DO40" s="140"/>
      <c r="DP40" s="140"/>
      <c r="DQ40" s="140"/>
      <c r="DR40" s="140"/>
      <c r="DS40" s="140"/>
      <c r="DT40" s="140"/>
    </row>
    <row r="41" spans="1:124" s="4" customFormat="1" ht="18" thickTop="1" x14ac:dyDescent="0.2">
      <c r="A41" s="90"/>
      <c r="B41" s="8"/>
      <c r="C41" s="8"/>
      <c r="D41" s="8"/>
      <c r="E41" s="8"/>
      <c r="F41" s="8"/>
      <c r="G41" s="8"/>
      <c r="H41" s="8"/>
      <c r="I41" s="8"/>
      <c r="J41" s="8"/>
      <c r="K41" s="8"/>
      <c r="L41" s="7"/>
      <c r="M41" s="8"/>
      <c r="N41" s="8"/>
      <c r="O41" s="8"/>
      <c r="P41" s="8"/>
      <c r="Q41" s="8"/>
      <c r="R41" s="8"/>
      <c r="S41" s="8"/>
      <c r="T41" s="8"/>
      <c r="U41" s="8"/>
      <c r="V41" s="8"/>
      <c r="W41" s="7"/>
      <c r="X41" s="8"/>
      <c r="Y41" s="8"/>
      <c r="Z41" s="8"/>
      <c r="AA41" s="7"/>
      <c r="AB41" s="30"/>
      <c r="AC41" s="30"/>
      <c r="AD41" s="30"/>
      <c r="AE41" s="8"/>
      <c r="AF41" s="8"/>
      <c r="AG41" s="8"/>
      <c r="AH41" s="8"/>
      <c r="AI41" s="23"/>
      <c r="AJ41" s="23"/>
      <c r="AK41" s="23"/>
      <c r="AL41" s="440" t="s">
        <v>53</v>
      </c>
      <c r="AM41" s="441"/>
      <c r="AN41" s="441"/>
      <c r="AO41" s="441"/>
      <c r="AP41" s="442"/>
      <c r="AQ41" s="447">
        <f>X35+X63+BE35</f>
        <v>8400</v>
      </c>
      <c r="AR41" s="448"/>
      <c r="AS41" s="448"/>
      <c r="AT41" s="448"/>
      <c r="AU41" s="448"/>
      <c r="AV41" s="49"/>
      <c r="AW41" s="50"/>
      <c r="AX41" s="23"/>
      <c r="AY41" s="23"/>
      <c r="AZ41" s="23"/>
      <c r="BA41" s="400" t="s">
        <v>159</v>
      </c>
      <c r="BB41" s="401"/>
      <c r="BC41" s="401"/>
      <c r="BD41" s="401"/>
      <c r="BE41" s="402"/>
      <c r="BF41" s="454">
        <f>AQ41/12</f>
        <v>700</v>
      </c>
      <c r="BG41" s="455"/>
      <c r="BH41" s="455"/>
      <c r="BI41" s="455"/>
      <c r="BJ41" s="455"/>
      <c r="BK41" s="51"/>
      <c r="BL41" s="52"/>
      <c r="BM41" s="23"/>
      <c r="BN41" s="89"/>
      <c r="CA41" s="98"/>
      <c r="CF41" s="140"/>
      <c r="CG41" s="150" t="s">
        <v>81</v>
      </c>
      <c r="CH41" s="140"/>
      <c r="CI41" s="140"/>
      <c r="CJ41" s="140"/>
      <c r="CK41" s="140"/>
      <c r="CL41" s="140"/>
      <c r="CM41" s="150" t="s">
        <v>17</v>
      </c>
      <c r="CN41" s="140"/>
      <c r="CO41" s="140"/>
      <c r="CP41" s="140"/>
      <c r="CQ41" s="140"/>
      <c r="CR41" s="150" t="s">
        <v>160</v>
      </c>
      <c r="CS41" s="140"/>
      <c r="CT41" s="140"/>
      <c r="CU41" s="140"/>
      <c r="CV41" s="140"/>
      <c r="CW41" s="140"/>
      <c r="CX41" s="140"/>
      <c r="CY41" s="140" t="s">
        <v>191</v>
      </c>
      <c r="CZ41" s="140"/>
      <c r="DA41" s="140"/>
      <c r="DB41" s="140"/>
      <c r="DC41" s="140"/>
      <c r="DD41" s="140"/>
      <c r="DE41" s="140"/>
      <c r="DF41" s="140"/>
      <c r="DG41" s="140"/>
      <c r="DH41" s="140"/>
      <c r="DI41" s="140"/>
      <c r="DJ41" s="140"/>
      <c r="DK41" s="140"/>
      <c r="DL41" s="140"/>
      <c r="DM41" s="140"/>
      <c r="DN41" s="140"/>
      <c r="DO41" s="140"/>
      <c r="DP41" s="140"/>
      <c r="DQ41" s="140"/>
      <c r="DR41" s="140"/>
      <c r="DS41" s="140"/>
      <c r="DT41" s="140"/>
    </row>
    <row r="42" spans="1:124" s="4" customFormat="1" ht="13.5" customHeight="1" thickBot="1" x14ac:dyDescent="0.25">
      <c r="A42" s="90"/>
      <c r="B42" s="8"/>
      <c r="C42" s="373" t="s">
        <v>67</v>
      </c>
      <c r="D42" s="373"/>
      <c r="E42" s="373"/>
      <c r="F42" s="7" t="s">
        <v>70</v>
      </c>
      <c r="G42" s="372">
        <f>試算表!CM43</f>
        <v>0</v>
      </c>
      <c r="H42" s="372"/>
      <c r="I42" s="372"/>
      <c r="J42" s="372"/>
      <c r="K42" s="8" t="s">
        <v>68</v>
      </c>
      <c r="L42" s="7" t="s">
        <v>69</v>
      </c>
      <c r="M42" s="374">
        <f>料率!E32</f>
        <v>430000</v>
      </c>
      <c r="N42" s="374"/>
      <c r="O42" s="374"/>
      <c r="P42" s="8" t="s">
        <v>68</v>
      </c>
      <c r="Q42" s="8" t="s">
        <v>74</v>
      </c>
      <c r="R42" s="399">
        <f>料率!V6</f>
        <v>2.7</v>
      </c>
      <c r="S42" s="399"/>
      <c r="T42" s="7" t="s">
        <v>71</v>
      </c>
      <c r="U42" s="373">
        <v>100</v>
      </c>
      <c r="V42" s="373"/>
      <c r="W42" s="7" t="s">
        <v>72</v>
      </c>
      <c r="X42" s="374">
        <f>IF(試算表!CN35=1,0,IF(G42-M42&lt;0,0,ROUNDDOWN((G42-M42)*R42/U42,0)))</f>
        <v>0</v>
      </c>
      <c r="Y42" s="374"/>
      <c r="Z42" s="374"/>
      <c r="AA42" s="7"/>
      <c r="AB42" s="7" t="s">
        <v>83</v>
      </c>
      <c r="AC42" s="372">
        <f>IF(試算表!CJ35=1,料率!Z6,0)</f>
        <v>0</v>
      </c>
      <c r="AD42" s="372"/>
      <c r="AE42" s="372"/>
      <c r="AF42" s="8"/>
      <c r="AG42" s="8"/>
      <c r="AH42" s="8"/>
      <c r="AI42" s="23"/>
      <c r="AJ42" s="23"/>
      <c r="AK42" s="23"/>
      <c r="AL42" s="443"/>
      <c r="AM42" s="444"/>
      <c r="AN42" s="444"/>
      <c r="AO42" s="444"/>
      <c r="AP42" s="445"/>
      <c r="AQ42" s="449"/>
      <c r="AR42" s="450"/>
      <c r="AS42" s="450"/>
      <c r="AT42" s="450"/>
      <c r="AU42" s="450"/>
      <c r="AV42" s="53"/>
      <c r="AW42" s="54" t="s">
        <v>139</v>
      </c>
      <c r="AX42" s="23"/>
      <c r="AY42" s="23"/>
      <c r="AZ42" s="23"/>
      <c r="BA42" s="403"/>
      <c r="BB42" s="404"/>
      <c r="BC42" s="404"/>
      <c r="BD42" s="404"/>
      <c r="BE42" s="405"/>
      <c r="BF42" s="456"/>
      <c r="BG42" s="457"/>
      <c r="BH42" s="457"/>
      <c r="BI42" s="457"/>
      <c r="BJ42" s="457"/>
      <c r="BK42" s="55"/>
      <c r="BL42" s="56" t="s">
        <v>158</v>
      </c>
      <c r="BM42" s="23"/>
      <c r="BN42" s="89"/>
      <c r="CA42" s="98"/>
      <c r="CF42" s="140"/>
      <c r="CG42" s="140" t="s">
        <v>99</v>
      </c>
      <c r="CH42" s="471">
        <f>IF(料率!N28&lt;CJ10,試算シート!I18+試算シート!I19+(CJ10-料率!N28)+試算シート!I20,試算シート!I18+試算シート!I19+試算シート!I20)</f>
        <v>0</v>
      </c>
      <c r="CI42" s="471"/>
      <c r="CJ42" s="471"/>
      <c r="CK42" s="471"/>
      <c r="CL42" s="140"/>
      <c r="CM42" s="471">
        <f>IF(CJ9=CG15,試算シート!I21,0)</f>
        <v>0</v>
      </c>
      <c r="CN42" s="471"/>
      <c r="CO42" s="471"/>
      <c r="CP42" s="471"/>
      <c r="CQ42" s="140"/>
      <c r="CR42" s="495">
        <f>IF(CJ9=CG15,CJ10,0)</f>
        <v>0</v>
      </c>
      <c r="CS42" s="495"/>
      <c r="CT42" s="495"/>
      <c r="CU42" s="495"/>
      <c r="CV42" s="140"/>
      <c r="CW42" s="140"/>
      <c r="CX42" s="140"/>
      <c r="CY42" s="495" t="str">
        <f>CJ11</f>
        <v/>
      </c>
      <c r="CZ42" s="495"/>
      <c r="DA42" s="495"/>
      <c r="DB42" s="495"/>
      <c r="DC42" s="140"/>
      <c r="DD42" s="140"/>
      <c r="DE42" s="140"/>
      <c r="DF42" s="140"/>
      <c r="DG42" s="140"/>
      <c r="DH42" s="140"/>
      <c r="DI42" s="140"/>
      <c r="DJ42" s="140"/>
      <c r="DK42" s="140"/>
      <c r="DL42" s="140"/>
      <c r="DM42" s="140"/>
      <c r="DN42" s="140"/>
      <c r="DO42" s="140"/>
      <c r="DP42" s="140"/>
      <c r="DQ42" s="140"/>
      <c r="DR42" s="140"/>
      <c r="DS42" s="140"/>
      <c r="DT42" s="140"/>
    </row>
    <row r="43" spans="1:124" s="4" customFormat="1" ht="18" thickTop="1" x14ac:dyDescent="0.2">
      <c r="A43" s="90"/>
      <c r="B43" s="8"/>
      <c r="C43" s="7"/>
      <c r="D43" s="7"/>
      <c r="E43" s="7"/>
      <c r="F43" s="7"/>
      <c r="G43" s="8"/>
      <c r="H43" s="8"/>
      <c r="I43" s="8"/>
      <c r="J43" s="8"/>
      <c r="K43" s="8"/>
      <c r="L43" s="8"/>
      <c r="M43" s="8"/>
      <c r="N43" s="8"/>
      <c r="O43" s="8"/>
      <c r="P43" s="8"/>
      <c r="Q43" s="8"/>
      <c r="R43" s="8"/>
      <c r="S43" s="8"/>
      <c r="T43" s="8"/>
      <c r="U43" s="8"/>
      <c r="V43" s="8"/>
      <c r="W43" s="7"/>
      <c r="X43" s="8"/>
      <c r="Y43" s="8"/>
      <c r="Z43" s="8"/>
      <c r="AA43" s="7"/>
      <c r="AB43" s="30"/>
      <c r="AC43" s="30"/>
      <c r="AD43" s="30"/>
      <c r="AE43" s="8"/>
      <c r="AF43" s="8"/>
      <c r="AG43" s="8"/>
      <c r="AH43" s="8"/>
      <c r="AI43" s="23"/>
      <c r="AJ43" s="23"/>
      <c r="AK43" s="23"/>
      <c r="AL43" s="100"/>
      <c r="AM43" s="100"/>
      <c r="AN43" s="100"/>
      <c r="AO43" s="100"/>
      <c r="AP43" s="100"/>
      <c r="AQ43" s="32"/>
      <c r="AR43" s="32"/>
      <c r="AS43" s="32"/>
      <c r="AT43" s="32"/>
      <c r="AU43" s="32"/>
      <c r="AV43" s="23"/>
      <c r="AW43" s="101"/>
      <c r="AX43" s="23"/>
      <c r="AY43" s="23"/>
      <c r="AZ43" s="23"/>
      <c r="BA43" s="100"/>
      <c r="BB43" s="100"/>
      <c r="BC43" s="100"/>
      <c r="BD43" s="100"/>
      <c r="BE43" s="100"/>
      <c r="BF43" s="32"/>
      <c r="BG43" s="32"/>
      <c r="BH43" s="32"/>
      <c r="BI43" s="32"/>
      <c r="BJ43" s="32"/>
      <c r="BK43" s="23"/>
      <c r="BL43" s="101"/>
      <c r="BM43" s="23"/>
      <c r="BN43" s="89"/>
      <c r="CA43" s="98"/>
      <c r="CF43" s="140"/>
      <c r="CG43" s="140" t="s">
        <v>100</v>
      </c>
      <c r="CH43" s="471">
        <f>IF(CP9=CG21,IF(料率!N28&lt;CP10,試算シート!N18+試算シート!N19+(CP10-料率!N28)+試算シート!N20,試算シート!N18+試算シート!N19+試算シート!N20),IF(CP9=CG22,IF(料率!N28&lt;CP10,試算シート!N18+試算シート!N19+(CP10-料率!N28)+試算シート!N20,試算シート!N18+試算シート!N19+試算シート!N20),0))</f>
        <v>0</v>
      </c>
      <c r="CI43" s="471"/>
      <c r="CJ43" s="471"/>
      <c r="CK43" s="471"/>
      <c r="CL43" s="140"/>
      <c r="CM43" s="471">
        <f>IF(CP9=CG21,試算シート!N21,0)</f>
        <v>0</v>
      </c>
      <c r="CN43" s="471"/>
      <c r="CO43" s="471"/>
      <c r="CP43" s="471"/>
      <c r="CQ43" s="140"/>
      <c r="CR43" s="495">
        <f>IF(CP9=CG21,CP10,0)</f>
        <v>0</v>
      </c>
      <c r="CS43" s="495"/>
      <c r="CT43" s="495"/>
      <c r="CU43" s="495"/>
      <c r="CV43" s="140"/>
      <c r="CW43" s="140"/>
      <c r="CX43" s="140"/>
      <c r="CY43" s="495" t="str">
        <f>CP11</f>
        <v/>
      </c>
      <c r="CZ43" s="495"/>
      <c r="DA43" s="495"/>
      <c r="DB43" s="495"/>
      <c r="DC43" s="140"/>
      <c r="DD43" s="140"/>
      <c r="DE43" s="140"/>
      <c r="DF43" s="140"/>
      <c r="DG43" s="140"/>
      <c r="DH43" s="140"/>
      <c r="DI43" s="140"/>
      <c r="DJ43" s="140"/>
      <c r="DK43" s="140"/>
      <c r="DL43" s="140"/>
      <c r="DM43" s="140"/>
      <c r="DN43" s="140"/>
      <c r="DO43" s="140"/>
      <c r="DP43" s="140"/>
      <c r="DQ43" s="140"/>
      <c r="DR43" s="140"/>
      <c r="DS43" s="140"/>
      <c r="DT43" s="140"/>
    </row>
    <row r="44" spans="1:124" s="4" customFormat="1" x14ac:dyDescent="0.2">
      <c r="A44" s="90"/>
      <c r="B44" s="8"/>
      <c r="C44" s="373" t="s">
        <v>76</v>
      </c>
      <c r="D44" s="373"/>
      <c r="E44" s="373"/>
      <c r="F44" s="7" t="s">
        <v>70</v>
      </c>
      <c r="G44" s="372">
        <f>試算表!CM44</f>
        <v>0</v>
      </c>
      <c r="H44" s="372"/>
      <c r="I44" s="372"/>
      <c r="J44" s="372"/>
      <c r="K44" s="8" t="s">
        <v>68</v>
      </c>
      <c r="L44" s="7" t="s">
        <v>69</v>
      </c>
      <c r="M44" s="374">
        <f>料率!E32</f>
        <v>430000</v>
      </c>
      <c r="N44" s="374"/>
      <c r="O44" s="374"/>
      <c r="P44" s="8" t="s">
        <v>68</v>
      </c>
      <c r="Q44" s="8" t="s">
        <v>74</v>
      </c>
      <c r="R44" s="399">
        <f>料率!V6</f>
        <v>2.7</v>
      </c>
      <c r="S44" s="399"/>
      <c r="T44" s="7" t="s">
        <v>71</v>
      </c>
      <c r="U44" s="373">
        <v>100</v>
      </c>
      <c r="V44" s="373"/>
      <c r="W44" s="7" t="s">
        <v>72</v>
      </c>
      <c r="X44" s="374">
        <f>IF(試算表!CN36=1,0,IF(G44-M44&lt;0,0,ROUNDDOWN((G44-M44)*R44/U44,0)))</f>
        <v>0</v>
      </c>
      <c r="Y44" s="374"/>
      <c r="Z44" s="374"/>
      <c r="AA44" s="7"/>
      <c r="AB44" s="7" t="s">
        <v>84</v>
      </c>
      <c r="AC44" s="372">
        <f>IF(試算表!CJ36=1,料率!Z6,0)</f>
        <v>0</v>
      </c>
      <c r="AD44" s="372"/>
      <c r="AE44" s="372"/>
      <c r="AF44" s="8"/>
      <c r="AG44" s="8"/>
      <c r="AH44" s="8"/>
      <c r="AI44" s="23"/>
      <c r="AJ44" s="23"/>
      <c r="AK44" s="23"/>
      <c r="AL44" s="100"/>
      <c r="AM44" s="100"/>
      <c r="AN44" s="100"/>
      <c r="AO44" s="100"/>
      <c r="AP44" s="100"/>
      <c r="AQ44" s="32"/>
      <c r="AR44" s="32"/>
      <c r="AS44" s="32"/>
      <c r="AT44" s="32"/>
      <c r="AU44" s="32"/>
      <c r="AV44" s="23"/>
      <c r="AW44" s="101"/>
      <c r="AX44" s="23"/>
      <c r="AY44" s="23"/>
      <c r="AZ44" s="23"/>
      <c r="BA44" s="100"/>
      <c r="BB44" s="100"/>
      <c r="BC44" s="100"/>
      <c r="BD44" s="100"/>
      <c r="BE44" s="100"/>
      <c r="BF44" s="32"/>
      <c r="BG44" s="32"/>
      <c r="BH44" s="32"/>
      <c r="BI44" s="32"/>
      <c r="BJ44" s="32"/>
      <c r="BK44" s="23"/>
      <c r="BL44" s="101"/>
      <c r="BM44" s="23"/>
      <c r="BN44" s="89"/>
      <c r="BO44"/>
      <c r="BP44"/>
      <c r="BQ44"/>
      <c r="CA44" s="98"/>
      <c r="CF44" s="140"/>
      <c r="CG44" s="140" t="s">
        <v>101</v>
      </c>
      <c r="CH44" s="471">
        <f>IF(CU9=CG21,IF(料率!N28&lt;CU10,試算シート!R18+試算シート!R19+(CU10-料率!N28)+試算シート!R20,試算シート!R18+試算シート!R19+試算シート!R20),IF(CU9=CG22,IF(料率!N28&lt;CU10,試算シート!R18+試算シート!R19+(CU10-料率!N28)+試算シート!R20,試算シート!R18+試算シート!R19+試算シート!R20),0))</f>
        <v>0</v>
      </c>
      <c r="CI44" s="471"/>
      <c r="CJ44" s="471"/>
      <c r="CK44" s="471"/>
      <c r="CL44" s="140"/>
      <c r="CM44" s="471">
        <f>IF(CU9=CG21,試算シート!R21,0)</f>
        <v>0</v>
      </c>
      <c r="CN44" s="471"/>
      <c r="CO44" s="471"/>
      <c r="CP44" s="471"/>
      <c r="CQ44" s="140"/>
      <c r="CR44" s="495">
        <f>IF(CU9=CG21,CU10,0)</f>
        <v>0</v>
      </c>
      <c r="CS44" s="495"/>
      <c r="CT44" s="495"/>
      <c r="CU44" s="495"/>
      <c r="CV44" s="140"/>
      <c r="CW44" s="140"/>
      <c r="CX44" s="140"/>
      <c r="CY44" s="495" t="str">
        <f>CU11</f>
        <v/>
      </c>
      <c r="CZ44" s="495"/>
      <c r="DA44" s="495"/>
      <c r="DB44" s="495"/>
      <c r="DC44" s="140"/>
      <c r="DD44" s="140"/>
      <c r="DE44" s="140"/>
      <c r="DF44" s="140"/>
      <c r="DG44" s="140"/>
      <c r="DH44" s="140"/>
      <c r="DI44" s="140"/>
      <c r="DJ44" s="140"/>
      <c r="DK44" s="140"/>
      <c r="DL44" s="140"/>
      <c r="DM44" s="140"/>
      <c r="DN44" s="140"/>
      <c r="DO44" s="140"/>
      <c r="DP44" s="140"/>
      <c r="DQ44" s="140"/>
      <c r="DR44" s="140"/>
      <c r="DS44" s="140"/>
      <c r="DT44" s="140"/>
    </row>
    <row r="45" spans="1:124" s="4" customFormat="1" ht="13.5" customHeight="1" x14ac:dyDescent="0.2">
      <c r="A45" s="90"/>
      <c r="B45" s="8"/>
      <c r="C45" s="8"/>
      <c r="D45" s="8"/>
      <c r="E45" s="8"/>
      <c r="F45" s="8"/>
      <c r="G45" s="8"/>
      <c r="H45" s="8"/>
      <c r="I45" s="8"/>
      <c r="J45" s="8"/>
      <c r="K45" s="8"/>
      <c r="L45" s="8"/>
      <c r="M45" s="8"/>
      <c r="N45" s="8"/>
      <c r="O45" s="8"/>
      <c r="P45" s="8"/>
      <c r="Q45" s="8"/>
      <c r="R45" s="8"/>
      <c r="S45" s="8"/>
      <c r="T45" s="8"/>
      <c r="U45" s="8"/>
      <c r="V45" s="8"/>
      <c r="W45" s="7"/>
      <c r="X45" s="8"/>
      <c r="Y45" s="8"/>
      <c r="Z45" s="8"/>
      <c r="AA45" s="7"/>
      <c r="AB45" s="30"/>
      <c r="AC45" s="30"/>
      <c r="AD45" s="30"/>
      <c r="AE45" s="8"/>
      <c r="AF45" s="8"/>
      <c r="AG45" s="8"/>
      <c r="AH45" s="8"/>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89"/>
      <c r="BO45"/>
      <c r="BP45"/>
      <c r="BQ45"/>
      <c r="CA45" s="98"/>
      <c r="CF45" s="140"/>
      <c r="CG45" s="140" t="s">
        <v>102</v>
      </c>
      <c r="CH45" s="471">
        <f>IF(CZ9=CG21,IF(料率!N28&lt;CZ10,試算シート!V18+試算シート!V19+(CZ10-料率!N28)+試算シート!V20,試算シート!V18+試算シート!V19+試算シート!V20),IF(CZ9=CG22,IF(料率!N28&lt;CZ10,試算シート!V18+試算シート!V19+(CZ10-料率!N28)+試算シート!V20,試算シート!V18+試算シート!V19+試算シート!V20),0))</f>
        <v>0</v>
      </c>
      <c r="CI45" s="471"/>
      <c r="CJ45" s="471"/>
      <c r="CK45" s="471"/>
      <c r="CL45" s="140"/>
      <c r="CM45" s="471">
        <f>IF(CZ9=CG21,試算シート!V21,0)</f>
        <v>0</v>
      </c>
      <c r="CN45" s="471"/>
      <c r="CO45" s="471"/>
      <c r="CP45" s="471"/>
      <c r="CQ45" s="140"/>
      <c r="CR45" s="495">
        <f>IF(CZ9=CG21,CZ10,0)</f>
        <v>0</v>
      </c>
      <c r="CS45" s="495"/>
      <c r="CT45" s="495"/>
      <c r="CU45" s="495"/>
      <c r="CV45" s="140"/>
      <c r="CW45" s="140"/>
      <c r="CX45" s="140"/>
      <c r="CY45" s="495" t="str">
        <f>CZ11</f>
        <v/>
      </c>
      <c r="CZ45" s="495"/>
      <c r="DA45" s="495"/>
      <c r="DB45" s="495"/>
      <c r="DC45" s="140"/>
      <c r="DD45" s="140"/>
      <c r="DE45" s="140"/>
      <c r="DF45" s="140"/>
      <c r="DG45" s="140"/>
      <c r="DH45" s="140"/>
      <c r="DI45" s="140"/>
      <c r="DJ45" s="140"/>
      <c r="DK45" s="140"/>
      <c r="DL45" s="140"/>
      <c r="DM45" s="140"/>
      <c r="DN45" s="140"/>
      <c r="DO45" s="140"/>
      <c r="DP45" s="140"/>
      <c r="DQ45" s="140"/>
      <c r="DR45" s="140"/>
      <c r="DS45" s="140"/>
      <c r="DT45" s="140"/>
    </row>
    <row r="46" spans="1:124" s="4" customFormat="1" x14ac:dyDescent="0.2">
      <c r="A46" s="90"/>
      <c r="B46" s="8"/>
      <c r="C46" s="373" t="s">
        <v>77</v>
      </c>
      <c r="D46" s="373"/>
      <c r="E46" s="373"/>
      <c r="F46" s="7" t="s">
        <v>70</v>
      </c>
      <c r="G46" s="372">
        <f>試算表!CM45</f>
        <v>0</v>
      </c>
      <c r="H46" s="372"/>
      <c r="I46" s="372"/>
      <c r="J46" s="372"/>
      <c r="K46" s="8" t="s">
        <v>68</v>
      </c>
      <c r="L46" s="7" t="s">
        <v>69</v>
      </c>
      <c r="M46" s="374">
        <f>料率!E32</f>
        <v>430000</v>
      </c>
      <c r="N46" s="374"/>
      <c r="O46" s="374"/>
      <c r="P46" s="8" t="s">
        <v>68</v>
      </c>
      <c r="Q46" s="8" t="s">
        <v>74</v>
      </c>
      <c r="R46" s="399">
        <f>料率!V6</f>
        <v>2.7</v>
      </c>
      <c r="S46" s="399"/>
      <c r="T46" s="7" t="s">
        <v>71</v>
      </c>
      <c r="U46" s="373">
        <v>100</v>
      </c>
      <c r="V46" s="373"/>
      <c r="W46" s="7" t="s">
        <v>72</v>
      </c>
      <c r="X46" s="374">
        <f>IF(試算表!CN37=1,0,IF(G46-M46&lt;0,0,ROUNDDOWN((G46-M46)*R46/U46,0)))</f>
        <v>0</v>
      </c>
      <c r="Y46" s="374"/>
      <c r="Z46" s="374"/>
      <c r="AA46" s="7"/>
      <c r="AB46" s="7" t="s">
        <v>85</v>
      </c>
      <c r="AC46" s="372">
        <f>IF(試算表!CJ37=1,料率!Z6,0)</f>
        <v>0</v>
      </c>
      <c r="AD46" s="372"/>
      <c r="AE46" s="372"/>
      <c r="AF46" s="8"/>
      <c r="AG46" s="8"/>
      <c r="AH46" s="8"/>
      <c r="AI46" s="23"/>
      <c r="AJ46" s="40"/>
      <c r="AK46" s="80" t="s">
        <v>58</v>
      </c>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23"/>
      <c r="BK46" s="23"/>
      <c r="BL46" s="23"/>
      <c r="BM46" s="23"/>
      <c r="BN46" s="89"/>
      <c r="BO46" s="387" t="s">
        <v>32</v>
      </c>
      <c r="BP46" s="461"/>
      <c r="BQ46" s="461"/>
      <c r="BR46" s="409">
        <f>試算表!CJ55</f>
        <v>12</v>
      </c>
      <c r="BS46" s="409"/>
      <c r="BT46" s="409"/>
      <c r="CA46" s="98"/>
      <c r="CF46" s="140"/>
      <c r="CG46" s="140" t="s">
        <v>103</v>
      </c>
      <c r="CH46" s="476">
        <f>IF(DE9=CG21,IF(料率!N28&lt;DE10,試算シート!Z18+試算シート!Z19+(DE10-料率!N28)+試算シート!Z20,試算シート!Z18+試算シート!Z19+試算シート!Z20),IF(DE9=CG22,IF(料率!N28&lt;DE10,試算シート!Z18+試算シート!Z19+(DE10-料率!N28)+試算シート!Z20,試算シート!Z18+試算シート!Z19+試算シート!Z20),0))</f>
        <v>0</v>
      </c>
      <c r="CI46" s="476"/>
      <c r="CJ46" s="476"/>
      <c r="CK46" s="476"/>
      <c r="CL46" s="140"/>
      <c r="CM46" s="476">
        <f>IF(DE9=CG21,試算シート!Z21,0)</f>
        <v>0</v>
      </c>
      <c r="CN46" s="476"/>
      <c r="CO46" s="476"/>
      <c r="CP46" s="476"/>
      <c r="CQ46" s="140"/>
      <c r="CR46" s="495">
        <f>IF(DE9=CG15,CG21,0)</f>
        <v>0</v>
      </c>
      <c r="CS46" s="495"/>
      <c r="CT46" s="495"/>
      <c r="CU46" s="495"/>
      <c r="CV46" s="140"/>
      <c r="CW46" s="140"/>
      <c r="CX46" s="140"/>
      <c r="CY46" s="495" t="str">
        <f>DE11</f>
        <v/>
      </c>
      <c r="CZ46" s="495"/>
      <c r="DA46" s="495"/>
      <c r="DB46" s="495"/>
      <c r="DC46" s="140"/>
      <c r="DD46" s="140"/>
      <c r="DE46" s="140"/>
      <c r="DF46" s="140"/>
      <c r="DG46" s="140"/>
      <c r="DH46" s="140"/>
      <c r="DI46" s="140"/>
      <c r="DJ46" s="140"/>
      <c r="DK46" s="140"/>
      <c r="DL46" s="140"/>
      <c r="DM46" s="140"/>
      <c r="DN46" s="140"/>
      <c r="DO46" s="140"/>
      <c r="DP46" s="140"/>
      <c r="DQ46" s="140"/>
      <c r="DR46" s="140"/>
      <c r="DS46" s="140"/>
      <c r="DT46" s="140"/>
    </row>
    <row r="47" spans="1:124" s="4" customFormat="1" x14ac:dyDescent="0.3">
      <c r="A47" s="90"/>
      <c r="B47" s="8"/>
      <c r="C47" s="8"/>
      <c r="D47" s="8"/>
      <c r="E47" s="8"/>
      <c r="F47" s="8"/>
      <c r="G47" s="8"/>
      <c r="H47" s="8"/>
      <c r="I47" s="8"/>
      <c r="J47" s="8"/>
      <c r="K47" s="8"/>
      <c r="L47" s="8"/>
      <c r="M47" s="8"/>
      <c r="N47" s="8"/>
      <c r="O47" s="8"/>
      <c r="P47" s="8"/>
      <c r="Q47" s="8"/>
      <c r="R47" s="8"/>
      <c r="S47" s="8"/>
      <c r="T47" s="8"/>
      <c r="U47" s="8"/>
      <c r="V47" s="8"/>
      <c r="W47" s="7"/>
      <c r="X47" s="8"/>
      <c r="Y47" s="8"/>
      <c r="Z47" s="8"/>
      <c r="AA47" s="7"/>
      <c r="AB47" s="30"/>
      <c r="AC47" s="30"/>
      <c r="AD47" s="30"/>
      <c r="AE47" s="8"/>
      <c r="AF47" s="8"/>
      <c r="AG47" s="8"/>
      <c r="AH47" s="8"/>
      <c r="AI47" s="23"/>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81"/>
      <c r="BI47" s="82"/>
      <c r="BJ47" s="23"/>
      <c r="BK47" s="23"/>
      <c r="BL47" s="23"/>
      <c r="BM47" s="23"/>
      <c r="BN47" s="89"/>
      <c r="BO47" s="386" t="s">
        <v>30</v>
      </c>
      <c r="BP47" s="386"/>
      <c r="BQ47" s="387"/>
      <c r="BR47" s="388">
        <f>IF(S35&gt;料率!E35,ROUNDDOWN(料率!E35*BR46/12,-2),ROUNDDOWN(S35*BR46/12,-2))</f>
        <v>6200</v>
      </c>
      <c r="BS47" s="389"/>
      <c r="BT47" s="390"/>
      <c r="CA47" s="98"/>
      <c r="CF47" s="140"/>
      <c r="CG47" s="140" t="s">
        <v>104</v>
      </c>
      <c r="CH47" s="477">
        <f>IF(DO9=CG21,IF(料率!N28&lt;DO14,DO12+DO13+(DO14-料率!N28)+DO15,DO12+DO13+DO15),IF(DO9=CG22,IF(料率!N28&lt;DO14,DO12+DO13+(DO14-料率!N28)+DO15,DO12+DO13+DO15),0))</f>
        <v>0</v>
      </c>
      <c r="CI47" s="478"/>
      <c r="CJ47" s="478"/>
      <c r="CK47" s="479"/>
      <c r="CL47" s="140"/>
      <c r="CM47" s="477">
        <f>IF(DO9=CG21,DO16,0)</f>
        <v>0</v>
      </c>
      <c r="CN47" s="478"/>
      <c r="CO47" s="478"/>
      <c r="CP47" s="479"/>
      <c r="CQ47" s="140"/>
      <c r="CR47" s="495">
        <f>IF(DO10=CG21,DO14,0)</f>
        <v>0</v>
      </c>
      <c r="CS47" s="495"/>
      <c r="CT47" s="495"/>
      <c r="CU47" s="495"/>
      <c r="CV47" s="140"/>
      <c r="CW47" s="140"/>
      <c r="CX47" s="140"/>
      <c r="CY47" s="495" t="str">
        <f>DO17</f>
        <v/>
      </c>
      <c r="CZ47" s="495"/>
      <c r="DA47" s="495"/>
      <c r="DB47" s="495"/>
      <c r="DC47" s="140"/>
      <c r="DD47" s="140"/>
      <c r="DE47" s="140"/>
      <c r="DF47" s="140"/>
      <c r="DG47" s="140"/>
      <c r="DH47" s="140"/>
      <c r="DI47" s="140"/>
      <c r="DJ47" s="140"/>
      <c r="DK47" s="140"/>
      <c r="DL47" s="140"/>
      <c r="DM47" s="140"/>
      <c r="DN47" s="140"/>
      <c r="DO47" s="140"/>
      <c r="DP47" s="140"/>
      <c r="DQ47" s="140"/>
      <c r="DR47" s="140"/>
      <c r="DS47" s="140"/>
      <c r="DT47" s="140"/>
    </row>
    <row r="48" spans="1:124" s="4" customFormat="1" x14ac:dyDescent="0.2">
      <c r="A48" s="90"/>
      <c r="B48" s="8"/>
      <c r="C48" s="373" t="s">
        <v>78</v>
      </c>
      <c r="D48" s="373"/>
      <c r="E48" s="373"/>
      <c r="F48" s="7" t="s">
        <v>70</v>
      </c>
      <c r="G48" s="372">
        <f>試算表!CM46</f>
        <v>0</v>
      </c>
      <c r="H48" s="372"/>
      <c r="I48" s="372"/>
      <c r="J48" s="372"/>
      <c r="K48" s="8" t="s">
        <v>68</v>
      </c>
      <c r="L48" s="7" t="s">
        <v>69</v>
      </c>
      <c r="M48" s="374">
        <f>料率!E32</f>
        <v>430000</v>
      </c>
      <c r="N48" s="374"/>
      <c r="O48" s="374"/>
      <c r="P48" s="8" t="s">
        <v>68</v>
      </c>
      <c r="Q48" s="8" t="s">
        <v>74</v>
      </c>
      <c r="R48" s="399">
        <f>料率!V6</f>
        <v>2.7</v>
      </c>
      <c r="S48" s="399"/>
      <c r="T48" s="7" t="s">
        <v>71</v>
      </c>
      <c r="U48" s="373">
        <v>100</v>
      </c>
      <c r="V48" s="373"/>
      <c r="W48" s="7" t="s">
        <v>72</v>
      </c>
      <c r="X48" s="374">
        <f>IF(試算表!CN38=1,0,IF(G48-M48&lt;0,0,ROUNDDOWN((G48-M48)*R48/U48,0)))</f>
        <v>0</v>
      </c>
      <c r="Y48" s="374"/>
      <c r="Z48" s="374"/>
      <c r="AA48" s="7"/>
      <c r="AB48" s="7" t="s">
        <v>86</v>
      </c>
      <c r="AC48" s="372">
        <f>IF(試算表!CJ38=1,料率!Z6,0)</f>
        <v>0</v>
      </c>
      <c r="AD48" s="372"/>
      <c r="AE48" s="372"/>
      <c r="AF48" s="8"/>
      <c r="AG48" s="8"/>
      <c r="AH48" s="8"/>
      <c r="AI48" s="23"/>
      <c r="AJ48" s="8"/>
      <c r="AK48" s="8"/>
      <c r="AL48" s="8"/>
      <c r="AM48" s="8"/>
      <c r="AN48" s="8"/>
      <c r="AO48" s="8"/>
      <c r="AP48" s="451" t="s">
        <v>27</v>
      </c>
      <c r="AQ48" s="451"/>
      <c r="AR48" s="451"/>
      <c r="AS48" s="451"/>
      <c r="AT48" s="451"/>
      <c r="AU48" s="452"/>
      <c r="AV48" s="446">
        <f>試算表!DB21</f>
        <v>4</v>
      </c>
      <c r="AW48" s="446"/>
      <c r="AX48" s="33" t="s">
        <v>28</v>
      </c>
      <c r="AY48" s="8"/>
      <c r="AZ48" s="8"/>
      <c r="BA48" s="57">
        <f>試算表!DF21</f>
        <v>12</v>
      </c>
      <c r="BB48" s="376" t="s">
        <v>54</v>
      </c>
      <c r="BC48" s="377"/>
      <c r="BD48" s="377"/>
      <c r="BE48" s="8"/>
      <c r="BF48" s="8"/>
      <c r="BG48" s="8"/>
      <c r="BH48" s="58"/>
      <c r="BI48" s="58"/>
      <c r="BJ48" s="59"/>
      <c r="BK48" s="83"/>
      <c r="BL48" s="23"/>
      <c r="BM48" s="23"/>
      <c r="BN48" s="89"/>
      <c r="BO48" s="386" t="s">
        <v>31</v>
      </c>
      <c r="BP48" s="386"/>
      <c r="BQ48" s="387"/>
      <c r="BR48" s="388">
        <f>IF(AZ35&gt;料率!E36,ROUNDDOWN(料率!E36*BR46/12,-2),ROUNDDOWN(AZ35*BR46/12,-2))</f>
        <v>0</v>
      </c>
      <c r="BS48" s="389"/>
      <c r="BT48" s="390"/>
      <c r="CA48" s="98"/>
      <c r="CF48" s="140"/>
      <c r="CG48" s="140" t="s">
        <v>21</v>
      </c>
      <c r="CH48" s="480">
        <f>SUM(CH42:CK47)</f>
        <v>0</v>
      </c>
      <c r="CI48" s="481"/>
      <c r="CJ48" s="481"/>
      <c r="CK48" s="482"/>
      <c r="CL48" s="140"/>
      <c r="CM48" s="480">
        <f>SUM(CM42:CP47)</f>
        <v>0</v>
      </c>
      <c r="CN48" s="481"/>
      <c r="CO48" s="481"/>
      <c r="CP48" s="482"/>
      <c r="CQ48" s="140"/>
      <c r="CR48" s="495">
        <f>SUM(CR42:CU47)</f>
        <v>0</v>
      </c>
      <c r="CS48" s="495"/>
      <c r="CT48" s="495"/>
      <c r="CU48" s="495"/>
      <c r="CV48" s="140"/>
      <c r="CW48" s="140"/>
      <c r="CX48" s="140"/>
      <c r="CY48" s="480">
        <f>IF((COUNTIF(CY42:DB47,"あり")-1)&gt;0,(COUNTIF(CY42:DB47,"あり")-1)*100000,0)</f>
        <v>0</v>
      </c>
      <c r="CZ48" s="481"/>
      <c r="DA48" s="481"/>
      <c r="DB48" s="482"/>
      <c r="DC48" s="140"/>
      <c r="DD48" s="140"/>
      <c r="DE48" s="140"/>
      <c r="DF48" s="140"/>
      <c r="DG48" s="140"/>
      <c r="DH48" s="140"/>
      <c r="DI48" s="140"/>
      <c r="DJ48" s="140"/>
      <c r="DK48" s="140"/>
      <c r="DL48" s="140"/>
      <c r="DM48" s="140"/>
      <c r="DN48" s="140"/>
      <c r="DO48" s="140"/>
      <c r="DP48" s="140"/>
      <c r="DQ48" s="140"/>
      <c r="DR48" s="140"/>
      <c r="DS48" s="140"/>
      <c r="DT48" s="140"/>
    </row>
    <row r="49" spans="1:124" s="4" customFormat="1" x14ac:dyDescent="0.2">
      <c r="A49" s="90"/>
      <c r="B49" s="8"/>
      <c r="C49" s="8"/>
      <c r="D49" s="8"/>
      <c r="E49" s="8"/>
      <c r="F49" s="8"/>
      <c r="G49" s="8"/>
      <c r="H49" s="8"/>
      <c r="I49" s="8"/>
      <c r="J49" s="8"/>
      <c r="K49" s="8"/>
      <c r="L49" s="8"/>
      <c r="M49" s="8"/>
      <c r="N49" s="8"/>
      <c r="O49" s="8"/>
      <c r="P49" s="8"/>
      <c r="Q49" s="8"/>
      <c r="R49" s="8"/>
      <c r="S49" s="8"/>
      <c r="T49" s="8"/>
      <c r="U49" s="8"/>
      <c r="V49" s="8"/>
      <c r="W49" s="8"/>
      <c r="X49" s="8"/>
      <c r="Y49" s="8"/>
      <c r="Z49" s="8"/>
      <c r="AA49" s="8"/>
      <c r="AB49" s="30"/>
      <c r="AC49" s="30"/>
      <c r="AD49" s="30"/>
      <c r="AE49" s="8"/>
      <c r="AF49" s="8"/>
      <c r="AG49" s="8"/>
      <c r="AH49" s="8"/>
      <c r="AI49" s="23"/>
      <c r="AJ49" s="8"/>
      <c r="AK49" s="8"/>
      <c r="AL49" s="8"/>
      <c r="AM49" s="8"/>
      <c r="AN49" s="8"/>
      <c r="AO49" s="8"/>
      <c r="AP49" s="8"/>
      <c r="AQ49" s="8"/>
      <c r="AR49" s="8"/>
      <c r="AS49" s="8"/>
      <c r="AT49" s="7"/>
      <c r="AU49" s="7"/>
      <c r="AV49" s="7"/>
      <c r="AW49" s="7"/>
      <c r="AX49" s="8"/>
      <c r="AY49" s="8"/>
      <c r="AZ49" s="8"/>
      <c r="BA49" s="60"/>
      <c r="BB49" s="30"/>
      <c r="BC49" s="30"/>
      <c r="BD49" s="30"/>
      <c r="BE49" s="8"/>
      <c r="BF49" s="8"/>
      <c r="BG49" s="8"/>
      <c r="BH49" s="8"/>
      <c r="BI49" s="8"/>
      <c r="BJ49" s="38" t="str">
        <f>IF(AV48=4,"","月割り計算後")</f>
        <v/>
      </c>
      <c r="BK49" s="8"/>
      <c r="BL49" s="23"/>
      <c r="BM49" s="23"/>
      <c r="BN49" s="89"/>
      <c r="BO49" s="386" t="s">
        <v>138</v>
      </c>
      <c r="BP49" s="386"/>
      <c r="BQ49" s="387"/>
      <c r="BR49" s="388">
        <f>IF(S63&gt;料率!E37,ROUNDDOWN(料率!E37*BR46/12,-2),ROUNDDOWN(S63*BR46/12,-2))</f>
        <v>2200</v>
      </c>
      <c r="BS49" s="389"/>
      <c r="BT49" s="390"/>
      <c r="CA49" s="98"/>
      <c r="CF49" s="140"/>
      <c r="CG49" s="140"/>
      <c r="CH49" s="140"/>
      <c r="CI49" s="140"/>
      <c r="CJ49" s="140"/>
      <c r="CK49" s="140"/>
      <c r="CL49" s="140"/>
      <c r="CM49" s="140"/>
      <c r="CN49" s="140"/>
      <c r="CO49" s="140"/>
      <c r="CP49" s="140"/>
      <c r="CQ49" s="140"/>
      <c r="CR49" s="140"/>
      <c r="CS49" s="140"/>
      <c r="CT49" s="140"/>
      <c r="CU49" s="140"/>
      <c r="CV49" s="140"/>
      <c r="CW49" s="140"/>
      <c r="CX49" s="140"/>
      <c r="CY49" s="140"/>
      <c r="CZ49" s="140"/>
      <c r="DA49" s="140"/>
      <c r="DB49" s="140"/>
      <c r="DC49" s="140"/>
      <c r="DD49" s="140"/>
      <c r="DE49" s="140"/>
      <c r="DF49" s="140"/>
      <c r="DG49" s="140"/>
      <c r="DH49" s="140"/>
      <c r="DI49" s="140"/>
      <c r="DJ49" s="140"/>
      <c r="DK49" s="140"/>
      <c r="DL49" s="140"/>
      <c r="DM49" s="140"/>
      <c r="DN49" s="140"/>
      <c r="DO49" s="140"/>
      <c r="DP49" s="140"/>
      <c r="DQ49" s="140"/>
      <c r="DR49" s="140"/>
      <c r="DS49" s="140"/>
      <c r="DT49" s="140"/>
    </row>
    <row r="50" spans="1:124" s="4" customFormat="1" x14ac:dyDescent="0.2">
      <c r="A50" s="90"/>
      <c r="B50" s="8"/>
      <c r="C50" s="373" t="s">
        <v>88</v>
      </c>
      <c r="D50" s="373"/>
      <c r="E50" s="373"/>
      <c r="F50" s="7" t="s">
        <v>70</v>
      </c>
      <c r="G50" s="372">
        <f>試算表!CM47</f>
        <v>0</v>
      </c>
      <c r="H50" s="372"/>
      <c r="I50" s="372"/>
      <c r="J50" s="372"/>
      <c r="K50" s="8" t="s">
        <v>68</v>
      </c>
      <c r="L50" s="7" t="s">
        <v>69</v>
      </c>
      <c r="M50" s="374">
        <f>料率!E32</f>
        <v>430000</v>
      </c>
      <c r="N50" s="374"/>
      <c r="O50" s="374"/>
      <c r="P50" s="8" t="s">
        <v>68</v>
      </c>
      <c r="Q50" s="8" t="s">
        <v>74</v>
      </c>
      <c r="R50" s="399">
        <f>料率!V6</f>
        <v>2.7</v>
      </c>
      <c r="S50" s="399"/>
      <c r="T50" s="7" t="s">
        <v>71</v>
      </c>
      <c r="U50" s="373">
        <v>100</v>
      </c>
      <c r="V50" s="373"/>
      <c r="W50" s="7" t="s">
        <v>72</v>
      </c>
      <c r="X50" s="374">
        <f>IF(試算表!CN39=1,0,IF(G50-M50&lt;0,0,ROUNDDOWN((G50-M50)*R50/U50,0)))</f>
        <v>0</v>
      </c>
      <c r="Y50" s="374"/>
      <c r="Z50" s="374"/>
      <c r="AA50" s="8"/>
      <c r="AB50" s="7" t="s">
        <v>87</v>
      </c>
      <c r="AC50" s="372">
        <f>IF(試算表!CJ39=1,料率!Z6,0)</f>
        <v>0</v>
      </c>
      <c r="AD50" s="372"/>
      <c r="AE50" s="372"/>
      <c r="AF50" s="8"/>
      <c r="AG50" s="8"/>
      <c r="AH50" s="8"/>
      <c r="AI50" s="23"/>
      <c r="AJ50" s="8"/>
      <c r="AK50" s="8"/>
      <c r="AL50" s="8"/>
      <c r="AM50" s="8"/>
      <c r="AN50" s="8"/>
      <c r="AO50" s="8"/>
      <c r="AP50" s="8"/>
      <c r="AQ50" s="451" t="s">
        <v>56</v>
      </c>
      <c r="AR50" s="451"/>
      <c r="AS50" s="451"/>
      <c r="AT50" s="451"/>
      <c r="AU50" s="452"/>
      <c r="AV50" s="453">
        <f>試算表!DB23</f>
        <v>1</v>
      </c>
      <c r="AW50" s="453"/>
      <c r="AX50" s="10" t="s">
        <v>55</v>
      </c>
      <c r="AY50" s="9"/>
      <c r="AZ50" s="8"/>
      <c r="BA50" s="61">
        <f>試算表!DF23</f>
        <v>10</v>
      </c>
      <c r="BB50" s="378" t="s">
        <v>29</v>
      </c>
      <c r="BC50" s="378"/>
      <c r="BD50" s="379"/>
      <c r="BE50" s="8"/>
      <c r="BF50" s="8"/>
      <c r="BG50" s="8"/>
      <c r="BH50" s="8"/>
      <c r="BI50" s="8"/>
      <c r="BJ50" s="8"/>
      <c r="BK50" s="8"/>
      <c r="BL50" s="23"/>
      <c r="BM50" s="23"/>
      <c r="BN50" s="89"/>
      <c r="BO50" s="386" t="s">
        <v>26</v>
      </c>
      <c r="BP50" s="386"/>
      <c r="BQ50" s="387"/>
      <c r="BR50" s="388">
        <f>SUM(BR47:BT49)</f>
        <v>8400</v>
      </c>
      <c r="BS50" s="394"/>
      <c r="BT50" s="395"/>
      <c r="CA50" s="98"/>
      <c r="CF50" s="140"/>
      <c r="CG50" s="150" t="s">
        <v>133</v>
      </c>
      <c r="CH50" s="140"/>
      <c r="CI50" s="140"/>
      <c r="CJ50" s="140"/>
      <c r="CK50" s="140"/>
      <c r="CL50" s="140"/>
      <c r="CM50" s="150" t="s">
        <v>147</v>
      </c>
      <c r="CN50" s="140"/>
      <c r="CO50" s="140"/>
      <c r="CP50" s="140"/>
      <c r="CQ50" s="140"/>
      <c r="CR50" s="140"/>
      <c r="CS50" s="140"/>
      <c r="CT50" s="140" t="s">
        <v>192</v>
      </c>
      <c r="CU50" s="140"/>
      <c r="CV50" s="140"/>
      <c r="CW50" s="140"/>
      <c r="CX50" s="140"/>
      <c r="CY50" s="140"/>
      <c r="CZ50" s="140"/>
      <c r="DA50" s="140"/>
      <c r="DB50" s="140"/>
      <c r="DC50" s="140"/>
      <c r="DD50" s="140"/>
      <c r="DE50" s="140"/>
      <c r="DF50" s="140"/>
      <c r="DG50" s="140"/>
      <c r="DH50" s="140"/>
      <c r="DI50" s="140"/>
      <c r="DJ50" s="140"/>
      <c r="DK50" s="140"/>
      <c r="DL50" s="140"/>
      <c r="DM50" s="140"/>
      <c r="DN50" s="140"/>
      <c r="DO50" s="140"/>
      <c r="DP50" s="140"/>
      <c r="DQ50" s="140"/>
      <c r="DR50" s="140"/>
      <c r="DS50" s="140"/>
      <c r="DT50" s="140"/>
    </row>
    <row r="51" spans="1:124" s="4" customFormat="1" x14ac:dyDescent="0.2">
      <c r="A51" s="90"/>
      <c r="B51" s="8"/>
      <c r="C51" s="7"/>
      <c r="D51" s="7"/>
      <c r="E51" s="7"/>
      <c r="F51" s="7"/>
      <c r="G51" s="24"/>
      <c r="H51" s="24"/>
      <c r="I51" s="24"/>
      <c r="J51" s="24"/>
      <c r="K51" s="8"/>
      <c r="L51" s="7"/>
      <c r="M51" s="24"/>
      <c r="N51" s="24"/>
      <c r="O51" s="24"/>
      <c r="P51" s="8"/>
      <c r="Q51" s="8"/>
      <c r="R51" s="74"/>
      <c r="S51" s="74"/>
      <c r="T51" s="7"/>
      <c r="U51" s="7"/>
      <c r="V51" s="7"/>
      <c r="W51" s="7"/>
      <c r="X51" s="24"/>
      <c r="Y51" s="24"/>
      <c r="Z51" s="24"/>
      <c r="AA51" s="8"/>
      <c r="AB51" s="7"/>
      <c r="AC51" s="24"/>
      <c r="AD51" s="24"/>
      <c r="AE51" s="24"/>
      <c r="AF51" s="8"/>
      <c r="AG51" s="8"/>
      <c r="AH51" s="8"/>
      <c r="AI51" s="23"/>
      <c r="AJ51" s="8"/>
      <c r="AK51" s="8"/>
      <c r="AL51" s="8"/>
      <c r="AM51" s="8"/>
      <c r="AN51" s="8"/>
      <c r="AO51" s="8"/>
      <c r="AP51" s="8"/>
      <c r="AQ51" s="38"/>
      <c r="AR51" s="38"/>
      <c r="AS51" s="38"/>
      <c r="AT51" s="38"/>
      <c r="AU51" s="38"/>
      <c r="AV51" s="102"/>
      <c r="AW51" s="102"/>
      <c r="AX51" s="10"/>
      <c r="AY51" s="9"/>
      <c r="AZ51" s="8"/>
      <c r="BA51" s="59"/>
      <c r="BB51" s="103"/>
      <c r="BC51" s="103"/>
      <c r="BD51" s="103"/>
      <c r="BE51" s="8"/>
      <c r="BF51" s="8"/>
      <c r="BG51" s="8"/>
      <c r="BH51" s="8"/>
      <c r="BI51" s="8"/>
      <c r="BJ51" s="8"/>
      <c r="BK51" s="8"/>
      <c r="BL51" s="23"/>
      <c r="BM51" s="23"/>
      <c r="BN51" s="89"/>
      <c r="BO51"/>
      <c r="CA51" s="98"/>
      <c r="CF51" s="140"/>
      <c r="CG51" s="470" t="s">
        <v>9</v>
      </c>
      <c r="CH51" s="470"/>
      <c r="CI51" s="473">
        <f>料率!U28</f>
        <v>430000</v>
      </c>
      <c r="CJ51" s="474"/>
      <c r="CK51" s="474"/>
      <c r="CL51" s="475"/>
      <c r="CM51" s="140"/>
      <c r="CN51" s="556">
        <f>CR48</f>
        <v>0</v>
      </c>
      <c r="CO51" s="557"/>
      <c r="CP51" s="557"/>
      <c r="CQ51" s="558"/>
      <c r="CR51" s="140"/>
      <c r="CS51" s="140"/>
      <c r="CT51" s="470" t="s">
        <v>9</v>
      </c>
      <c r="CU51" s="470"/>
      <c r="CV51" s="473">
        <f>料率!U28</f>
        <v>430000</v>
      </c>
      <c r="CW51" s="474"/>
      <c r="CX51" s="474"/>
      <c r="CY51" s="475"/>
      <c r="CZ51" s="140"/>
      <c r="DA51" s="140"/>
      <c r="DB51" s="140"/>
      <c r="DC51" s="140"/>
      <c r="DD51" s="140"/>
      <c r="DE51" s="140"/>
      <c r="DF51" s="140"/>
      <c r="DG51" s="140"/>
      <c r="DH51" s="140"/>
      <c r="DI51" s="140"/>
      <c r="DJ51" s="140"/>
      <c r="DK51" s="140"/>
      <c r="DL51" s="140"/>
      <c r="DM51" s="140"/>
      <c r="DN51" s="140"/>
      <c r="DO51" s="140"/>
      <c r="DP51" s="140"/>
      <c r="DQ51" s="140"/>
      <c r="DR51" s="140"/>
      <c r="DS51" s="140"/>
      <c r="DT51" s="140"/>
    </row>
    <row r="52" spans="1:124" s="4" customFormat="1" x14ac:dyDescent="0.2">
      <c r="A52" s="90"/>
      <c r="B52" s="8"/>
      <c r="C52" s="8"/>
      <c r="D52" s="8"/>
      <c r="E52" s="8"/>
      <c r="F52" s="8"/>
      <c r="G52" s="8"/>
      <c r="H52" s="8"/>
      <c r="I52" s="8"/>
      <c r="J52" s="8"/>
      <c r="K52" s="8"/>
      <c r="L52" s="8"/>
      <c r="M52" s="8"/>
      <c r="N52" s="8"/>
      <c r="O52" s="8"/>
      <c r="P52" s="8"/>
      <c r="Q52" s="8"/>
      <c r="R52" s="8"/>
      <c r="S52" s="8"/>
      <c r="T52" s="8"/>
      <c r="U52" s="8"/>
      <c r="V52" s="8"/>
      <c r="W52" s="8"/>
      <c r="X52" s="8"/>
      <c r="Y52" s="79"/>
      <c r="Z52" s="127" t="str">
        <f>IF(SUM(試算表!CN34:CN39)&gt;0,"※社保の扶養が外れた６５歳以上の方は、当分の間所得割がかかりません","")</f>
        <v/>
      </c>
      <c r="AA52" s="8"/>
      <c r="AB52" s="8" t="s">
        <v>21</v>
      </c>
      <c r="AC52" s="410">
        <f>AC40+AC42+AC44+AC46+AC48+AC50</f>
        <v>0</v>
      </c>
      <c r="AD52" s="380"/>
      <c r="AE52" s="380"/>
      <c r="AF52" s="8"/>
      <c r="AG52" s="8"/>
      <c r="AH52" s="8"/>
      <c r="AI52" s="23"/>
      <c r="AJ52" s="45" t="s">
        <v>57</v>
      </c>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23"/>
      <c r="BK52" s="23"/>
      <c r="BL52" s="23"/>
      <c r="BM52" s="23"/>
      <c r="BN52" s="89"/>
      <c r="BO52"/>
      <c r="CA52" s="98"/>
      <c r="CF52" s="140"/>
      <c r="CG52" s="470" t="s">
        <v>10</v>
      </c>
      <c r="CH52" s="470"/>
      <c r="CI52" s="483">
        <f>料率!U29</f>
        <v>430000</v>
      </c>
      <c r="CJ52" s="483"/>
      <c r="CK52" s="483"/>
      <c r="CL52" s="483"/>
      <c r="CM52" s="150" t="s">
        <v>149</v>
      </c>
      <c r="CN52" s="140"/>
      <c r="CO52" s="140"/>
      <c r="CP52" s="140"/>
      <c r="CQ52" s="140"/>
      <c r="CR52" s="140"/>
      <c r="CS52" s="140"/>
      <c r="CT52" s="470" t="s">
        <v>10</v>
      </c>
      <c r="CU52" s="470"/>
      <c r="CV52" s="496">
        <f>料率!U29</f>
        <v>430000</v>
      </c>
      <c r="CW52" s="474"/>
      <c r="CX52" s="474"/>
      <c r="CY52" s="475"/>
      <c r="CZ52" s="140"/>
      <c r="DA52" s="140"/>
      <c r="DB52" s="140"/>
      <c r="DC52" s="140"/>
      <c r="DD52" s="140"/>
      <c r="DE52" s="140"/>
      <c r="DF52" s="140"/>
      <c r="DG52" s="140"/>
      <c r="DH52" s="140"/>
      <c r="DI52" s="140"/>
      <c r="DJ52" s="140"/>
      <c r="DK52" s="140"/>
      <c r="DL52" s="140"/>
      <c r="DM52" s="140"/>
      <c r="DN52" s="140"/>
      <c r="DO52" s="140"/>
      <c r="DP52" s="140"/>
      <c r="DQ52" s="140"/>
      <c r="DR52" s="140"/>
      <c r="DS52" s="140"/>
      <c r="DT52" s="140"/>
    </row>
    <row r="53" spans="1:124" s="4" customFormat="1" x14ac:dyDescent="0.2">
      <c r="A53" s="90"/>
      <c r="B53" s="8"/>
      <c r="C53" s="8"/>
      <c r="D53" s="8"/>
      <c r="E53" s="417" t="s">
        <v>17</v>
      </c>
      <c r="F53" s="418"/>
      <c r="G53" s="418"/>
      <c r="H53" s="419"/>
      <c r="I53" s="411">
        <f>I25</f>
        <v>0</v>
      </c>
      <c r="J53" s="412"/>
      <c r="K53" s="412"/>
      <c r="L53" s="413"/>
      <c r="M53" s="8"/>
      <c r="N53" s="8"/>
      <c r="O53" s="8"/>
      <c r="P53" s="8"/>
      <c r="Q53" s="8"/>
      <c r="R53" s="7"/>
      <c r="S53" s="7"/>
      <c r="T53" s="7"/>
      <c r="U53" s="7"/>
      <c r="V53" s="7"/>
      <c r="W53" s="24"/>
      <c r="X53" s="48"/>
      <c r="Y53" s="8"/>
      <c r="Z53" s="26"/>
      <c r="AA53" s="8"/>
      <c r="AB53" s="46"/>
      <c r="AC53" s="8"/>
      <c r="AD53" s="8"/>
      <c r="AE53" s="8"/>
      <c r="AF53" s="8"/>
      <c r="AG53" s="8"/>
      <c r="AH53" s="8"/>
      <c r="AI53" s="23"/>
      <c r="AJ53" s="391" t="s">
        <v>161</v>
      </c>
      <c r="AK53" s="391"/>
      <c r="AL53" s="391" t="s">
        <v>162</v>
      </c>
      <c r="AM53" s="391"/>
      <c r="AN53" s="391" t="s">
        <v>163</v>
      </c>
      <c r="AO53" s="391"/>
      <c r="AP53" s="391" t="s">
        <v>164</v>
      </c>
      <c r="AQ53" s="391"/>
      <c r="AR53" s="391" t="s">
        <v>165</v>
      </c>
      <c r="AS53" s="391"/>
      <c r="AT53" s="391" t="s">
        <v>166</v>
      </c>
      <c r="AU53" s="391"/>
      <c r="AV53" s="391" t="s">
        <v>167</v>
      </c>
      <c r="AW53" s="391"/>
      <c r="AX53" s="391" t="s">
        <v>168</v>
      </c>
      <c r="AY53" s="391"/>
      <c r="AZ53" s="391" t="s">
        <v>169</v>
      </c>
      <c r="BA53" s="391"/>
      <c r="BB53" s="391" t="s">
        <v>170</v>
      </c>
      <c r="BC53" s="391"/>
      <c r="BD53" s="391" t="s">
        <v>171</v>
      </c>
      <c r="BE53" s="391"/>
      <c r="BF53" s="391" t="s">
        <v>172</v>
      </c>
      <c r="BG53" s="391"/>
      <c r="BH53" s="380" t="s">
        <v>26</v>
      </c>
      <c r="BI53" s="380"/>
      <c r="BJ53" s="380"/>
      <c r="BK53" s="380"/>
      <c r="BL53" s="23"/>
      <c r="BM53" s="23"/>
      <c r="BN53" s="89"/>
      <c r="BO53"/>
      <c r="CA53" s="98"/>
      <c r="CF53" s="140"/>
      <c r="CG53" s="470" t="s">
        <v>11</v>
      </c>
      <c r="CH53" s="470"/>
      <c r="CI53" s="483">
        <f>料率!U30</f>
        <v>430000</v>
      </c>
      <c r="CJ53" s="483"/>
      <c r="CK53" s="483"/>
      <c r="CL53" s="483"/>
      <c r="CM53" s="140"/>
      <c r="CN53" s="473" t="str">
        <f>IF(CJ57=CQ2,IF(CM48=CN51,IF(CN51&gt;=180000,"OK","NG"),"NG"),"NG")</f>
        <v>NG</v>
      </c>
      <c r="CO53" s="474"/>
      <c r="CP53" s="474"/>
      <c r="CQ53" s="475"/>
      <c r="CR53" s="140"/>
      <c r="CS53" s="140"/>
      <c r="CT53" s="470" t="s">
        <v>11</v>
      </c>
      <c r="CU53" s="470"/>
      <c r="CV53" s="496">
        <f>料率!U30</f>
        <v>430000</v>
      </c>
      <c r="CW53" s="474"/>
      <c r="CX53" s="474"/>
      <c r="CY53" s="475"/>
      <c r="CZ53" s="140"/>
      <c r="DA53" s="140"/>
      <c r="DB53" s="140"/>
      <c r="DC53" s="140"/>
      <c r="DD53" s="140"/>
      <c r="DE53" s="140"/>
      <c r="DF53" s="140"/>
      <c r="DG53" s="140"/>
      <c r="DH53" s="140"/>
      <c r="DI53" s="140"/>
      <c r="DJ53" s="140"/>
      <c r="DK53" s="140"/>
      <c r="DL53" s="140"/>
      <c r="DM53" s="140"/>
      <c r="DN53" s="140"/>
      <c r="DO53" s="140"/>
      <c r="DP53" s="140"/>
      <c r="DQ53" s="140"/>
      <c r="DR53" s="140"/>
      <c r="DS53" s="140"/>
      <c r="DT53" s="140"/>
    </row>
    <row r="54" spans="1:124" s="4" customFormat="1" x14ac:dyDescent="0.2">
      <c r="A54" s="90"/>
      <c r="B54" s="8"/>
      <c r="C54" s="8"/>
      <c r="D54" s="8"/>
      <c r="E54" s="8"/>
      <c r="F54" s="8"/>
      <c r="G54" s="8"/>
      <c r="H54" s="8"/>
      <c r="I54" s="8"/>
      <c r="J54" s="8"/>
      <c r="K54" s="8"/>
      <c r="L54" s="8"/>
      <c r="M54" s="8"/>
      <c r="N54" s="8"/>
      <c r="O54" s="8"/>
      <c r="P54" s="8"/>
      <c r="Q54" s="8"/>
      <c r="R54" s="8"/>
      <c r="S54" s="380" t="s">
        <v>98</v>
      </c>
      <c r="T54" s="380"/>
      <c r="U54" s="380"/>
      <c r="V54" s="380"/>
      <c r="W54" s="410">
        <f>X40+X42+X44+X46+X48+X50</f>
        <v>0</v>
      </c>
      <c r="X54" s="410"/>
      <c r="Y54" s="410"/>
      <c r="Z54" s="410"/>
      <c r="AA54" s="8"/>
      <c r="AB54" s="8" t="s">
        <v>96</v>
      </c>
      <c r="AC54" s="7"/>
      <c r="AD54" s="7"/>
      <c r="AE54" s="7"/>
      <c r="AF54" s="8"/>
      <c r="AG54" s="8"/>
      <c r="AH54" s="8"/>
      <c r="AI54" s="23"/>
      <c r="AJ54" s="369">
        <f>IF(BR46&gt;=12,BR50/BR46,"－")</f>
        <v>700</v>
      </c>
      <c r="AK54" s="369"/>
      <c r="AL54" s="369">
        <f>IF(BR46&gt;=11,BR50/BR46,"－")</f>
        <v>700</v>
      </c>
      <c r="AM54" s="369"/>
      <c r="AN54" s="369">
        <f>IF(BR46&gt;=10,BR50/BR46,"－")</f>
        <v>700</v>
      </c>
      <c r="AO54" s="369"/>
      <c r="AP54" s="369">
        <f>IF(BR46&gt;=9,BR50/BR46,"－")</f>
        <v>700</v>
      </c>
      <c r="AQ54" s="369"/>
      <c r="AR54" s="369">
        <f>IF(BR46&gt;=8,BR50/BR46,"－")</f>
        <v>700</v>
      </c>
      <c r="AS54" s="369"/>
      <c r="AT54" s="369">
        <f>IF(BR46&gt;=7,BR50/BR46,"－")</f>
        <v>700</v>
      </c>
      <c r="AU54" s="369"/>
      <c r="AV54" s="369">
        <f>IF(BR46&gt;=6,BR50/BR46,"－")</f>
        <v>700</v>
      </c>
      <c r="AW54" s="369"/>
      <c r="AX54" s="369">
        <f>IF(BR46&gt;=5,BR50/BR46,"－")</f>
        <v>700</v>
      </c>
      <c r="AY54" s="369"/>
      <c r="AZ54" s="369">
        <f>IF(BR46&gt;=4,BR50/BR46,"－")</f>
        <v>700</v>
      </c>
      <c r="BA54" s="369"/>
      <c r="BB54" s="369">
        <f>IF(BR46&gt;=3,BR50/BR46,"－")</f>
        <v>700</v>
      </c>
      <c r="BC54" s="369"/>
      <c r="BD54" s="369">
        <f>IF(BR46&gt;=2,BR50/BR46,"－")</f>
        <v>700</v>
      </c>
      <c r="BE54" s="369"/>
      <c r="BF54" s="369">
        <f>IF(BR46&gt;=1,BR50/BR46,"－")</f>
        <v>700</v>
      </c>
      <c r="BG54" s="369"/>
      <c r="BH54" s="372">
        <f>SUM(AJ54:BG54)</f>
        <v>8400</v>
      </c>
      <c r="BI54" s="372"/>
      <c r="BJ54" s="372"/>
      <c r="BK54" s="372"/>
      <c r="BL54" s="23"/>
      <c r="BM54" s="23"/>
      <c r="BN54" s="89"/>
      <c r="BO54"/>
      <c r="CA54" s="98"/>
      <c r="CF54" s="140"/>
      <c r="CG54" s="140"/>
      <c r="CH54" s="140"/>
      <c r="CI54" s="140"/>
      <c r="CJ54" s="140"/>
      <c r="CK54" s="140"/>
      <c r="CL54" s="140"/>
      <c r="CM54" s="140"/>
      <c r="CN54" s="140"/>
      <c r="CO54" s="140"/>
      <c r="CP54" s="140"/>
      <c r="CQ54" s="140"/>
      <c r="CR54" s="140"/>
      <c r="CS54" s="140"/>
      <c r="CT54" s="140"/>
      <c r="CU54" s="140"/>
      <c r="CV54" s="140"/>
      <c r="CW54" s="140"/>
      <c r="CX54" s="140"/>
      <c r="CY54" s="140"/>
      <c r="CZ54" s="140"/>
      <c r="DA54" s="140"/>
      <c r="DB54" s="140"/>
      <c r="DC54" s="140"/>
      <c r="DD54" s="140"/>
      <c r="DE54" s="140"/>
      <c r="DF54" s="140"/>
      <c r="DG54" s="140"/>
      <c r="DH54" s="140"/>
      <c r="DI54" s="140"/>
      <c r="DJ54" s="140"/>
      <c r="DK54" s="140"/>
      <c r="DL54" s="140"/>
      <c r="DM54" s="140"/>
      <c r="DN54" s="140"/>
      <c r="DO54" s="140"/>
      <c r="DP54" s="140"/>
      <c r="DQ54" s="140"/>
      <c r="DR54" s="140"/>
      <c r="DS54" s="140"/>
      <c r="DT54" s="140"/>
    </row>
    <row r="55" spans="1:124" s="4" customFormat="1" x14ac:dyDescent="0.2">
      <c r="A55" s="90"/>
      <c r="B55" s="8"/>
      <c r="C55" s="8"/>
      <c r="D55" s="8"/>
      <c r="E55" s="414" t="s">
        <v>81</v>
      </c>
      <c r="F55" s="415"/>
      <c r="G55" s="415"/>
      <c r="H55" s="416"/>
      <c r="I55" s="406">
        <f>I27</f>
        <v>0</v>
      </c>
      <c r="J55" s="407"/>
      <c r="K55" s="407"/>
      <c r="L55" s="408"/>
      <c r="M55" s="8"/>
      <c r="N55" s="8"/>
      <c r="O55" s="8"/>
      <c r="P55" s="8"/>
      <c r="Q55" s="8"/>
      <c r="R55" s="8"/>
      <c r="AA55" s="8"/>
      <c r="AB55" s="8"/>
      <c r="AC55" s="8"/>
      <c r="AD55" s="8"/>
      <c r="AE55" s="8"/>
      <c r="AF55" s="8"/>
      <c r="AG55" s="8"/>
      <c r="AH55" s="8"/>
      <c r="AI55" s="23"/>
      <c r="AJ55" s="24"/>
      <c r="AK55" s="24"/>
      <c r="AL55" s="24"/>
      <c r="AM55" s="24"/>
      <c r="AN55" s="62"/>
      <c r="AO55" s="62"/>
      <c r="AP55" s="62"/>
      <c r="AQ55" s="62"/>
      <c r="AR55" s="62"/>
      <c r="AS55" s="62"/>
      <c r="AT55" s="62"/>
      <c r="AU55" s="62"/>
      <c r="AV55" s="62"/>
      <c r="AW55" s="62"/>
      <c r="AX55" s="62"/>
      <c r="AY55" s="62"/>
      <c r="AZ55" s="62"/>
      <c r="BA55" s="62"/>
      <c r="BB55" s="62"/>
      <c r="BC55" s="62"/>
      <c r="BD55" s="62"/>
      <c r="BE55" s="62"/>
      <c r="BF55" s="62"/>
      <c r="BG55" s="62"/>
      <c r="BH55" s="24"/>
      <c r="BI55" s="24"/>
      <c r="BJ55" s="23"/>
      <c r="BK55" s="23"/>
      <c r="BL55" s="23"/>
      <c r="BM55" s="23"/>
      <c r="BN55" s="89"/>
      <c r="BO55"/>
      <c r="CA55" s="98"/>
      <c r="CF55" s="140"/>
      <c r="CG55" s="472" t="s">
        <v>32</v>
      </c>
      <c r="CH55" s="472"/>
      <c r="CI55" s="472"/>
      <c r="CJ55" s="470">
        <f>IF(DB21&gt;3,12-DB21+4,IF(DB21&lt;=3,3-DB21+1))</f>
        <v>12</v>
      </c>
      <c r="CK55" s="470"/>
      <c r="CL55" s="470"/>
      <c r="CM55" s="140"/>
      <c r="CN55" s="140"/>
      <c r="CO55" s="140"/>
      <c r="CP55" s="140"/>
      <c r="CQ55" s="140"/>
      <c r="CR55" s="140"/>
      <c r="CS55" s="140"/>
      <c r="CT55" s="140"/>
      <c r="CU55" s="140"/>
      <c r="CV55" s="140"/>
      <c r="CW55" s="140"/>
      <c r="CX55" s="140"/>
      <c r="CY55" s="140"/>
      <c r="CZ55" s="140"/>
      <c r="DA55" s="140"/>
      <c r="DB55" s="140"/>
      <c r="DC55" s="140"/>
      <c r="DD55" s="140"/>
      <c r="DE55" s="140"/>
      <c r="DF55" s="140"/>
      <c r="DG55" s="140"/>
      <c r="DH55" s="140"/>
      <c r="DI55" s="140"/>
      <c r="DJ55" s="140"/>
      <c r="DK55" s="140"/>
      <c r="DL55" s="140"/>
      <c r="DM55" s="140"/>
      <c r="DN55" s="140"/>
      <c r="DO55" s="140"/>
      <c r="DP55" s="140"/>
      <c r="DQ55" s="140"/>
      <c r="DR55" s="140"/>
      <c r="DS55" s="140"/>
      <c r="DT55" s="140"/>
    </row>
    <row r="56" spans="1:124" s="4" customFormat="1" x14ac:dyDescent="0.2">
      <c r="A56" s="90"/>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411">
        <f>IF(AB6="平等割半額",料率!AC11,料率!AC6)</f>
        <v>7400</v>
      </c>
      <c r="AD56" s="412"/>
      <c r="AE56" s="413"/>
      <c r="AF56" s="8"/>
      <c r="AG56" s="8"/>
      <c r="AH56" s="8"/>
      <c r="AI56" s="23"/>
      <c r="AJ56" s="63" t="s">
        <v>59</v>
      </c>
      <c r="AK56" s="64"/>
      <c r="AL56" s="8"/>
      <c r="AM56" s="65"/>
      <c r="AN56" s="392" t="s">
        <v>33</v>
      </c>
      <c r="AO56" s="393"/>
      <c r="AP56" s="392" t="s">
        <v>34</v>
      </c>
      <c r="AQ56" s="393"/>
      <c r="AR56" s="392" t="s">
        <v>35</v>
      </c>
      <c r="AS56" s="393"/>
      <c r="AT56" s="392" t="s">
        <v>36</v>
      </c>
      <c r="AU56" s="393"/>
      <c r="AV56" s="392" t="s">
        <v>37</v>
      </c>
      <c r="AW56" s="393"/>
      <c r="AX56" s="392" t="s">
        <v>38</v>
      </c>
      <c r="AY56" s="393"/>
      <c r="AZ56" s="392" t="s">
        <v>39</v>
      </c>
      <c r="BA56" s="393"/>
      <c r="BB56" s="392" t="s">
        <v>40</v>
      </c>
      <c r="BC56" s="393"/>
      <c r="BD56" s="392" t="s">
        <v>41</v>
      </c>
      <c r="BE56" s="393"/>
      <c r="BF56" s="392" t="s">
        <v>42</v>
      </c>
      <c r="BG56" s="393"/>
      <c r="BH56" s="372" t="s">
        <v>26</v>
      </c>
      <c r="BI56" s="372"/>
      <c r="BJ56" s="372"/>
      <c r="BK56" s="372"/>
      <c r="BL56" s="23"/>
      <c r="BM56" s="23"/>
      <c r="BN56" s="89"/>
      <c r="BO56"/>
      <c r="CA56" s="98"/>
      <c r="CF56" s="140"/>
      <c r="CG56" s="140"/>
      <c r="CH56" s="140"/>
      <c r="CI56" s="140"/>
      <c r="CJ56" s="140"/>
      <c r="CK56" s="140"/>
      <c r="CL56" s="140"/>
      <c r="CM56" s="140"/>
      <c r="CN56" s="140"/>
      <c r="CO56" s="140"/>
      <c r="CP56" s="140"/>
      <c r="CQ56" s="140"/>
      <c r="CR56" s="140"/>
      <c r="CS56" s="140"/>
      <c r="CT56" s="140"/>
      <c r="CU56" s="140"/>
      <c r="CV56" s="140"/>
      <c r="CW56" s="140"/>
      <c r="CX56" s="140"/>
      <c r="CY56" s="140"/>
      <c r="CZ56" s="140"/>
      <c r="DA56" s="140"/>
      <c r="DB56" s="140"/>
      <c r="DC56" s="140"/>
      <c r="DD56" s="140"/>
      <c r="DE56" s="140"/>
      <c r="DF56" s="140"/>
      <c r="DG56" s="140"/>
      <c r="DH56" s="140"/>
      <c r="DI56" s="140"/>
      <c r="DJ56" s="140"/>
      <c r="DK56" s="140"/>
      <c r="DL56" s="140"/>
      <c r="DM56" s="140"/>
      <c r="DN56" s="140"/>
      <c r="DO56" s="140"/>
      <c r="DP56" s="140"/>
      <c r="DQ56" s="140"/>
      <c r="DR56" s="140"/>
      <c r="DS56" s="140"/>
      <c r="DT56" s="140"/>
    </row>
    <row r="57" spans="1:124" s="4" customFormat="1" x14ac:dyDescent="0.2">
      <c r="A57" s="90"/>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23"/>
      <c r="AJ57" s="66"/>
      <c r="AK57" s="8"/>
      <c r="AL57" s="67"/>
      <c r="AM57" s="68" t="s">
        <v>60</v>
      </c>
      <c r="AN57" s="369">
        <f>IF(試算表!CN53="NG",IF(AV50&lt;=1,IF(AV50=1,BR50-BF57-BD57-BB57-AZ57-AX57-AV57-AT57-AR57-AP57,ROUNDDOWN(BR50/BA50,-2)),""),"")</f>
        <v>1200</v>
      </c>
      <c r="AO57" s="369"/>
      <c r="AP57" s="369">
        <f>IF(試算表!CN53="NG",IF(AV50&lt;=2,IF(AV50=2,BR50-BF57-BD57-BB57-AZ57-AX57-AV57-AT57-AR57,ROUNDDOWN(BR50/BA50,-2))),"特")</f>
        <v>800</v>
      </c>
      <c r="AQ57" s="369"/>
      <c r="AR57" s="369">
        <f>IF(試算表!CN53="NG",IF(AV50&lt;=3,IF(AV50=3,BR50-BF57-BD57-BB57-AZ57-AX57-AV57-AT57,ROUNDDOWN(BR50/BA50,-2))),"")</f>
        <v>800</v>
      </c>
      <c r="AS57" s="369"/>
      <c r="AT57" s="369">
        <f>IF(試算表!CN53="NG",IF(AV50&lt;=4,IF(AV50=4,BR50-BF57-BD57-BB57-AZ57-AX57-AV57,ROUNDDOWN(BR50/BA50,-2))),"別")</f>
        <v>800</v>
      </c>
      <c r="AU57" s="369"/>
      <c r="AV57" s="369">
        <f>IF(試算表!CN53="NG",IF(AV50&lt;=5,IF(AV50=5,BR50-BF57-BD57-BB57-AZ57-AX57,ROUNDDOWN(BR50/BA50,-2))),"")</f>
        <v>800</v>
      </c>
      <c r="AW57" s="369"/>
      <c r="AX57" s="369">
        <f>IF(試算表!CN53="NG",IF(AV50&lt;=6,IF(AV50=6,BR50-BF57-BD57-BB57-AZ57,ROUNDDOWN(BR50/BA50,-2))),"徴")</f>
        <v>800</v>
      </c>
      <c r="AY57" s="369"/>
      <c r="AZ57" s="369">
        <f>IF(試算表!CN53="NG",IF(AV50&lt;=7,IF(AV50=7,BR50-BF57-BD57-BB57,ROUNDDOWN(BR50/BA50,-2))),"")</f>
        <v>800</v>
      </c>
      <c r="BA57" s="369"/>
      <c r="BB57" s="369">
        <f>IF(試算表!CN53="NG",IF(AV50&lt;=8,IF(AV50=8,BR50-BF57-BD57,ROUNDDOWN(BR50/BA50,-2))),"収")</f>
        <v>800</v>
      </c>
      <c r="BC57" s="369"/>
      <c r="BD57" s="369">
        <f>IF(試算表!CN53="NG",IF(AV50&lt;=9,IF(AV50=9,BR50-BF57,ROUNDDOWN(BR50/BA50,-2))),"")</f>
        <v>800</v>
      </c>
      <c r="BE57" s="369"/>
      <c r="BF57" s="369">
        <f>IF(試算表!CN53="NG",IF(AV50&lt;=10,IF(AV50=10,BR50,ROUNDDOWN(BR50/BA50,-2))),"")</f>
        <v>800</v>
      </c>
      <c r="BG57" s="369"/>
      <c r="BH57" s="372">
        <f>IF(SUM(AN57:BG57)=0,"",SUM(AN57:BG57))</f>
        <v>8400</v>
      </c>
      <c r="BI57" s="372"/>
      <c r="BJ57" s="372"/>
      <c r="BK57" s="372"/>
      <c r="BL57" s="23"/>
      <c r="BM57" s="23"/>
      <c r="BN57" s="89"/>
      <c r="BO57"/>
      <c r="CA57" s="98"/>
      <c r="CF57" s="140"/>
      <c r="CG57" s="492" t="s">
        <v>146</v>
      </c>
      <c r="CH57" s="493"/>
      <c r="CI57" s="494"/>
      <c r="CJ57" s="492">
        <f>SUM(CO34:CO39)</f>
        <v>0</v>
      </c>
      <c r="CK57" s="493"/>
      <c r="CL57" s="494"/>
      <c r="CM57" s="140"/>
      <c r="CN57" s="140"/>
      <c r="CO57" s="140"/>
      <c r="CP57" s="140"/>
      <c r="CQ57" s="140"/>
      <c r="CR57" s="140"/>
      <c r="CS57" s="140"/>
      <c r="CT57" s="140"/>
      <c r="CU57" s="140"/>
      <c r="CV57" s="140"/>
      <c r="CW57" s="140"/>
      <c r="CX57" s="140"/>
      <c r="CY57" s="140"/>
      <c r="CZ57" s="140"/>
      <c r="DA57" s="140"/>
      <c r="DB57" s="140"/>
      <c r="DC57" s="140"/>
      <c r="DD57" s="140"/>
      <c r="DE57" s="140"/>
      <c r="DF57" s="140"/>
      <c r="DG57" s="140"/>
      <c r="DH57" s="140"/>
      <c r="DI57" s="140"/>
      <c r="DJ57" s="140"/>
      <c r="DK57" s="140"/>
      <c r="DL57" s="140"/>
      <c r="DM57" s="140"/>
      <c r="DN57" s="140"/>
      <c r="DO57" s="140"/>
      <c r="DP57" s="140"/>
      <c r="DQ57" s="140"/>
      <c r="DR57" s="140"/>
      <c r="DS57" s="140"/>
      <c r="DT57" s="140"/>
    </row>
    <row r="58" spans="1:124" ht="13.5" customHeight="1" x14ac:dyDescent="0.2">
      <c r="A58" s="88"/>
      <c r="B58" s="8"/>
      <c r="C58" s="8" t="s">
        <v>108</v>
      </c>
      <c r="D58" s="8"/>
      <c r="E58" s="8"/>
      <c r="F58" s="8"/>
      <c r="G58" s="8"/>
      <c r="H58" s="8"/>
      <c r="I58" s="8"/>
      <c r="J58" s="8"/>
      <c r="K58" s="8"/>
      <c r="L58" s="8"/>
      <c r="M58" s="8"/>
      <c r="N58" s="8"/>
      <c r="O58" s="8"/>
      <c r="P58" s="8"/>
      <c r="Q58" s="8"/>
      <c r="R58" s="8"/>
      <c r="S58" s="8"/>
      <c r="T58" s="8"/>
      <c r="U58" s="8"/>
      <c r="V58" s="8"/>
      <c r="W58" s="8"/>
      <c r="X58" s="8"/>
      <c r="Y58" s="8"/>
      <c r="Z58" s="8"/>
      <c r="AA58" s="24"/>
      <c r="AB58" s="8"/>
      <c r="AC58" s="8"/>
      <c r="AD58" s="8"/>
      <c r="AE58" s="8"/>
      <c r="AF58" s="8"/>
      <c r="AG58" s="23"/>
      <c r="AH58" s="8"/>
      <c r="AI58" s="23"/>
      <c r="AJ58" s="40"/>
      <c r="AK58" s="104"/>
      <c r="AL58" s="104"/>
      <c r="AM58" s="104"/>
      <c r="AN58" s="368" t="s">
        <v>43</v>
      </c>
      <c r="AO58" s="368"/>
      <c r="AP58" s="368" t="s">
        <v>44</v>
      </c>
      <c r="AQ58" s="368"/>
      <c r="AR58" s="368" t="s">
        <v>45</v>
      </c>
      <c r="AS58" s="368"/>
      <c r="AT58" s="368" t="s">
        <v>46</v>
      </c>
      <c r="AU58" s="368"/>
      <c r="AV58" s="368" t="s">
        <v>47</v>
      </c>
      <c r="AW58" s="368"/>
      <c r="AX58" s="368" t="s">
        <v>48</v>
      </c>
      <c r="AY58" s="368"/>
      <c r="AZ58" s="368" t="s">
        <v>49</v>
      </c>
      <c r="BA58" s="368"/>
      <c r="BB58" s="368" t="s">
        <v>50</v>
      </c>
      <c r="BC58" s="368"/>
      <c r="BD58" s="368" t="s">
        <v>51</v>
      </c>
      <c r="BE58" s="368"/>
      <c r="BF58" s="368" t="s">
        <v>52</v>
      </c>
      <c r="BG58" s="368"/>
      <c r="BH58" s="370" t="s">
        <v>61</v>
      </c>
      <c r="BI58" s="370"/>
      <c r="BJ58" s="370"/>
      <c r="BK58" s="370"/>
      <c r="BL58" s="34"/>
      <c r="BM58" s="34"/>
      <c r="BN58" s="89"/>
      <c r="BP58" s="4"/>
      <c r="BQ58" s="4"/>
      <c r="BR58" s="4"/>
      <c r="BS58" s="4"/>
      <c r="BT58" s="4"/>
      <c r="BU58" s="4"/>
      <c r="BV58" s="4"/>
      <c r="BX58" s="4"/>
      <c r="BY58" s="4"/>
      <c r="BZ58" s="4"/>
      <c r="CA58" s="98"/>
      <c r="CB58" s="4"/>
      <c r="CC58" s="4"/>
      <c r="CD58" s="4"/>
    </row>
    <row r="59" spans="1:124" ht="13.5" customHeight="1" x14ac:dyDescent="0.2">
      <c r="A59" s="88"/>
      <c r="B59" s="8"/>
      <c r="C59" s="8"/>
      <c r="D59" s="45" t="s">
        <v>20</v>
      </c>
      <c r="E59" s="45"/>
      <c r="F59" s="45"/>
      <c r="G59" s="45"/>
      <c r="H59" s="45"/>
      <c r="I59" s="45" t="s">
        <v>89</v>
      </c>
      <c r="J59" s="45"/>
      <c r="K59" s="45"/>
      <c r="L59" s="45"/>
      <c r="M59" s="45" t="s">
        <v>91</v>
      </c>
      <c r="N59" s="45"/>
      <c r="O59" s="45"/>
      <c r="P59" s="45"/>
      <c r="Q59" s="45"/>
      <c r="R59" s="45"/>
      <c r="S59" s="45" t="s">
        <v>21</v>
      </c>
      <c r="T59" s="45"/>
      <c r="U59" s="45"/>
      <c r="V59" s="45"/>
      <c r="W59" s="45"/>
      <c r="X59" s="45" t="s">
        <v>109</v>
      </c>
      <c r="Y59" s="8"/>
      <c r="Z59" s="8"/>
      <c r="AA59" s="8"/>
      <c r="AB59" s="8"/>
      <c r="AC59" s="8"/>
      <c r="AD59" s="8"/>
      <c r="AE59" s="8"/>
      <c r="AF59" s="8"/>
      <c r="AG59" s="23"/>
      <c r="AH59" s="23"/>
      <c r="AI59" s="23"/>
      <c r="AJ59" s="371" t="str">
        <f>IF(AP57="特","◎６５歳～７４歳のみで構成される世帯で、「年金額が１８０，０００円以上」かつ「国民健康保険料と介護保険料を足した額が年金額の２分の１以下」の場合は、特別徴収（年金からの天引き）になります。","納付には口座振替が便利です。ご利用ください。")</f>
        <v>納付には口座振替が便利です。ご利用ください。</v>
      </c>
      <c r="AK59" s="371" ph="1"/>
      <c r="AL59" s="371" ph="1"/>
      <c r="AM59" s="371" ph="1"/>
      <c r="AN59" s="371" ph="1"/>
      <c r="AO59" s="371" ph="1"/>
      <c r="AP59" s="371" ph="1"/>
      <c r="AQ59" s="371" ph="1"/>
      <c r="AR59" s="371" ph="1"/>
      <c r="AS59" s="371" ph="1"/>
      <c r="AT59" s="371" ph="1"/>
      <c r="AU59" s="371" ph="1"/>
      <c r="AV59" s="371" ph="1"/>
      <c r="AW59" s="371" ph="1"/>
      <c r="AX59" s="371" ph="1"/>
      <c r="AY59" s="371" ph="1"/>
      <c r="AZ59" s="371" ph="1"/>
      <c r="BA59" s="371" ph="1"/>
      <c r="BB59" s="371" ph="1"/>
      <c r="BC59" s="371" ph="1"/>
      <c r="BD59" s="371" ph="1"/>
      <c r="BE59" s="371" ph="1"/>
      <c r="BF59" s="371" ph="1"/>
      <c r="BG59" s="371" ph="1"/>
      <c r="BH59" s="371" ph="1"/>
      <c r="BI59" s="371" ph="1"/>
      <c r="BJ59" s="371" ph="1"/>
      <c r="BK59" s="34"/>
      <c r="BL59" s="34"/>
      <c r="BM59" s="34"/>
      <c r="BN59" s="89"/>
      <c r="BQ59" s="4"/>
      <c r="BR59" s="4"/>
      <c r="BS59" s="4"/>
      <c r="BT59" s="4"/>
      <c r="BX59" s="4"/>
      <c r="CH59" s="153"/>
      <c r="CI59" s="153"/>
      <c r="CJ59" s="153"/>
      <c r="CK59" s="153"/>
      <c r="CL59" s="153"/>
      <c r="CM59" s="196"/>
      <c r="CN59" s="165"/>
      <c r="CO59" s="165"/>
      <c r="CP59" s="165"/>
      <c r="CQ59" s="165"/>
      <c r="CS59" s="197" t="s">
        <v>133</v>
      </c>
      <c r="CZ59" s="197" t="s">
        <v>192</v>
      </c>
    </row>
    <row r="60" spans="1:124" ht="13.5" customHeight="1" x14ac:dyDescent="0.2">
      <c r="A60" s="88"/>
      <c r="B60" s="8"/>
      <c r="C60" s="8"/>
      <c r="D60" s="406">
        <f>W54</f>
        <v>0</v>
      </c>
      <c r="E60" s="407"/>
      <c r="F60" s="407"/>
      <c r="G60" s="408"/>
      <c r="H60" s="7" t="s">
        <v>90</v>
      </c>
      <c r="I60" s="406">
        <f>AC52</f>
        <v>0</v>
      </c>
      <c r="J60" s="407"/>
      <c r="K60" s="407"/>
      <c r="L60" s="408"/>
      <c r="M60" s="7" t="s">
        <v>90</v>
      </c>
      <c r="N60" s="411">
        <f>AC56</f>
        <v>7400</v>
      </c>
      <c r="O60" s="412"/>
      <c r="P60" s="412"/>
      <c r="Q60" s="413"/>
      <c r="R60" s="7" t="s">
        <v>92</v>
      </c>
      <c r="S60" s="406">
        <f>D60+I60+N60</f>
        <v>7400</v>
      </c>
      <c r="T60" s="407"/>
      <c r="U60" s="407"/>
      <c r="V60" s="408"/>
      <c r="W60" s="7" t="s">
        <v>93</v>
      </c>
      <c r="X60" s="411">
        <f>IF(S60&gt;料率!E37,料率!E37,ROUNDDOWN(S60,-2))</f>
        <v>7400</v>
      </c>
      <c r="Y60" s="412"/>
      <c r="Z60" s="412"/>
      <c r="AA60" s="413"/>
      <c r="AB60" s="8"/>
      <c r="AC60" s="8"/>
      <c r="AD60" s="8"/>
      <c r="AE60" s="8"/>
      <c r="AF60" s="8"/>
      <c r="AG60" s="23"/>
      <c r="AH60" s="366" t="s">
        <v>188</v>
      </c>
      <c r="AI60" s="366"/>
      <c r="AJ60" s="366"/>
      <c r="AK60" s="366"/>
      <c r="AL60" s="366"/>
      <c r="AM60" s="366"/>
      <c r="AN60" s="366"/>
      <c r="AO60" s="366"/>
      <c r="AP60" s="366"/>
      <c r="AQ60" s="366"/>
      <c r="AR60" s="366"/>
      <c r="AS60" s="366"/>
      <c r="AT60" s="366"/>
      <c r="AU60" s="366"/>
      <c r="AV60" s="366"/>
      <c r="AW60" s="366"/>
      <c r="AX60" s="366"/>
      <c r="AY60" s="366"/>
      <c r="AZ60" s="366"/>
      <c r="BA60" s="366"/>
      <c r="BB60" s="366"/>
      <c r="BC60" s="366"/>
      <c r="BD60" s="366"/>
      <c r="BE60" s="366"/>
      <c r="BF60" s="366"/>
      <c r="BG60" s="366"/>
      <c r="BH60" s="366"/>
      <c r="BI60" s="366"/>
      <c r="BJ60" s="366"/>
      <c r="BK60" s="366"/>
      <c r="BL60" s="366"/>
      <c r="BM60" s="366"/>
      <c r="BN60" s="367"/>
      <c r="CG60" s="470" t="s">
        <v>17</v>
      </c>
      <c r="CH60" s="470"/>
      <c r="CI60" s="470"/>
      <c r="CJ60" s="470"/>
      <c r="CK60" s="470"/>
      <c r="CL60" s="496">
        <f>CM48</f>
        <v>0</v>
      </c>
      <c r="CM60" s="474"/>
      <c r="CN60" s="474"/>
      <c r="CO60" s="474"/>
      <c r="CP60" s="475"/>
      <c r="CR60" s="470" t="s">
        <v>193</v>
      </c>
      <c r="CS60" s="470"/>
      <c r="CT60" s="484">
        <f>CI51</f>
        <v>430000</v>
      </c>
      <c r="CU60" s="484"/>
      <c r="CV60" s="484"/>
      <c r="CW60" s="484"/>
      <c r="CZ60" s="470" t="s">
        <v>193</v>
      </c>
      <c r="DA60" s="470"/>
      <c r="DB60" s="484">
        <f>CV51</f>
        <v>430000</v>
      </c>
      <c r="DC60" s="484"/>
      <c r="DD60" s="484"/>
      <c r="DE60" s="484"/>
    </row>
    <row r="61" spans="1:124" ht="13.5" customHeight="1" x14ac:dyDescent="0.2">
      <c r="A61" s="88"/>
      <c r="B61" s="8"/>
      <c r="C61" s="8" t="s">
        <v>107</v>
      </c>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23"/>
      <c r="AH61" s="366"/>
      <c r="AI61" s="366"/>
      <c r="AJ61" s="366"/>
      <c r="AK61" s="366"/>
      <c r="AL61" s="366"/>
      <c r="AM61" s="366"/>
      <c r="AN61" s="366"/>
      <c r="AO61" s="366"/>
      <c r="AP61" s="366"/>
      <c r="AQ61" s="366"/>
      <c r="AR61" s="366"/>
      <c r="AS61" s="366"/>
      <c r="AT61" s="366"/>
      <c r="AU61" s="366"/>
      <c r="AV61" s="366"/>
      <c r="AW61" s="366"/>
      <c r="AX61" s="366"/>
      <c r="AY61" s="366"/>
      <c r="AZ61" s="366"/>
      <c r="BA61" s="366"/>
      <c r="BB61" s="366"/>
      <c r="BC61" s="366"/>
      <c r="BD61" s="366"/>
      <c r="BE61" s="366"/>
      <c r="BF61" s="366"/>
      <c r="BG61" s="366"/>
      <c r="BH61" s="366"/>
      <c r="BI61" s="366"/>
      <c r="BJ61" s="366"/>
      <c r="BK61" s="366"/>
      <c r="BL61" s="366"/>
      <c r="BM61" s="366"/>
      <c r="BN61" s="367"/>
      <c r="CG61" s="470" t="s">
        <v>81</v>
      </c>
      <c r="CH61" s="470"/>
      <c r="CI61" s="470"/>
      <c r="CJ61" s="470"/>
      <c r="CK61" s="470"/>
      <c r="CL61" s="496">
        <f>CH48</f>
        <v>0</v>
      </c>
      <c r="CM61" s="474"/>
      <c r="CN61" s="474"/>
      <c r="CO61" s="474"/>
      <c r="CP61" s="475"/>
      <c r="CR61" s="470" t="s">
        <v>194</v>
      </c>
      <c r="CS61" s="470"/>
      <c r="CT61" s="484">
        <f>CI52</f>
        <v>430000</v>
      </c>
      <c r="CU61" s="484"/>
      <c r="CV61" s="484"/>
      <c r="CW61" s="484"/>
      <c r="CZ61" s="470" t="s">
        <v>194</v>
      </c>
      <c r="DA61" s="470"/>
      <c r="DB61" s="484">
        <f>CV52</f>
        <v>430000</v>
      </c>
      <c r="DC61" s="484"/>
      <c r="DD61" s="484"/>
      <c r="DE61" s="484"/>
    </row>
    <row r="62" spans="1:124" ht="13.5" customHeight="1" x14ac:dyDescent="0.2">
      <c r="A62" s="88"/>
      <c r="B62" s="8"/>
      <c r="C62" s="8"/>
      <c r="D62" s="45" t="s">
        <v>20</v>
      </c>
      <c r="E62" s="45"/>
      <c r="F62" s="45"/>
      <c r="G62" s="45"/>
      <c r="H62" s="45"/>
      <c r="I62" s="45" t="s">
        <v>89</v>
      </c>
      <c r="J62" s="45"/>
      <c r="K62" s="45"/>
      <c r="L62" s="45"/>
      <c r="M62" s="45" t="s">
        <v>91</v>
      </c>
      <c r="N62" s="45"/>
      <c r="O62" s="45"/>
      <c r="P62" s="45"/>
      <c r="Q62" s="45"/>
      <c r="R62" s="45"/>
      <c r="S62" s="45" t="s">
        <v>21</v>
      </c>
      <c r="T62" s="45"/>
      <c r="U62" s="45"/>
      <c r="V62" s="45"/>
      <c r="W62" s="45"/>
      <c r="X62" s="45" t="s">
        <v>109</v>
      </c>
      <c r="Y62" s="8"/>
      <c r="Z62" s="8"/>
      <c r="AA62" s="8"/>
      <c r="AB62" s="8"/>
      <c r="AC62" s="8"/>
      <c r="AD62" s="8"/>
      <c r="AE62" s="8"/>
      <c r="AF62" s="8"/>
      <c r="AG62" s="23"/>
      <c r="AH62" s="366" t="s">
        <v>189</v>
      </c>
      <c r="AI62" s="366"/>
      <c r="AJ62" s="366"/>
      <c r="AK62" s="366"/>
      <c r="AL62" s="366"/>
      <c r="AM62" s="366"/>
      <c r="AN62" s="366"/>
      <c r="AO62" s="366"/>
      <c r="AP62" s="366"/>
      <c r="AQ62" s="366"/>
      <c r="AR62" s="366"/>
      <c r="AS62" s="366"/>
      <c r="AT62" s="366"/>
      <c r="AU62" s="366"/>
      <c r="AV62" s="366"/>
      <c r="AW62" s="366"/>
      <c r="AX62" s="366"/>
      <c r="AY62" s="366"/>
      <c r="AZ62" s="366"/>
      <c r="BA62" s="366"/>
      <c r="BB62" s="366"/>
      <c r="BC62" s="366"/>
      <c r="BD62" s="366"/>
      <c r="BE62" s="366"/>
      <c r="BF62" s="366"/>
      <c r="BG62" s="366"/>
      <c r="BH62" s="366"/>
      <c r="BI62" s="366"/>
      <c r="BJ62" s="366"/>
      <c r="BK62" s="366"/>
      <c r="BL62" s="366"/>
      <c r="BM62" s="366"/>
      <c r="BN62" s="367"/>
      <c r="CR62" s="470" t="s">
        <v>195</v>
      </c>
      <c r="CS62" s="470"/>
      <c r="CT62" s="484">
        <f>CI53</f>
        <v>430000</v>
      </c>
      <c r="CU62" s="484"/>
      <c r="CV62" s="484"/>
      <c r="CW62" s="484"/>
      <c r="CZ62" s="485" t="s">
        <v>195</v>
      </c>
      <c r="DA62" s="485"/>
      <c r="DB62" s="484">
        <f>CV53</f>
        <v>430000</v>
      </c>
      <c r="DC62" s="484"/>
      <c r="DD62" s="484"/>
      <c r="DE62" s="484"/>
    </row>
    <row r="63" spans="1:124" ht="13.5" customHeight="1" thickBot="1" x14ac:dyDescent="0.25">
      <c r="A63" s="88"/>
      <c r="B63" s="8"/>
      <c r="C63" s="8"/>
      <c r="D63" s="406">
        <f>W54</f>
        <v>0</v>
      </c>
      <c r="E63" s="407"/>
      <c r="F63" s="407"/>
      <c r="G63" s="408"/>
      <c r="H63" s="7" t="s">
        <v>90</v>
      </c>
      <c r="I63" s="406">
        <f>BP21+BT21+BX21</f>
        <v>0</v>
      </c>
      <c r="J63" s="407"/>
      <c r="K63" s="407"/>
      <c r="L63" s="408"/>
      <c r="M63" s="7" t="s">
        <v>90</v>
      </c>
      <c r="N63" s="411">
        <f>CB15+CB17</f>
        <v>2220</v>
      </c>
      <c r="O63" s="412"/>
      <c r="P63" s="412"/>
      <c r="Q63" s="413"/>
      <c r="R63" s="7" t="s">
        <v>92</v>
      </c>
      <c r="S63" s="406">
        <f>D63+I63+N63</f>
        <v>2220</v>
      </c>
      <c r="T63" s="407"/>
      <c r="U63" s="407"/>
      <c r="V63" s="408"/>
      <c r="W63" s="7" t="s">
        <v>93</v>
      </c>
      <c r="X63" s="411">
        <f>IF(S63&gt;料率!E37,料率!E37,ROUNDDOWN(S63,-2))</f>
        <v>2200</v>
      </c>
      <c r="Y63" s="412"/>
      <c r="Z63" s="412"/>
      <c r="AA63" s="413"/>
      <c r="AB63" s="8"/>
      <c r="AC63" s="8"/>
      <c r="AD63" s="8"/>
      <c r="AE63" s="8"/>
      <c r="AF63" s="8"/>
      <c r="AG63" s="23"/>
      <c r="AH63" s="366"/>
      <c r="AI63" s="366"/>
      <c r="AJ63" s="366"/>
      <c r="AK63" s="366"/>
      <c r="AL63" s="366"/>
      <c r="AM63" s="366"/>
      <c r="AN63" s="366"/>
      <c r="AO63" s="366"/>
      <c r="AP63" s="366"/>
      <c r="AQ63" s="366"/>
      <c r="AR63" s="366"/>
      <c r="AS63" s="366"/>
      <c r="AT63" s="366"/>
      <c r="AU63" s="366"/>
      <c r="AV63" s="366"/>
      <c r="AW63" s="366"/>
      <c r="AX63" s="366"/>
      <c r="AY63" s="366"/>
      <c r="AZ63" s="366"/>
      <c r="BA63" s="366"/>
      <c r="BB63" s="366"/>
      <c r="BC63" s="366"/>
      <c r="BD63" s="366"/>
      <c r="BE63" s="366"/>
      <c r="BF63" s="366"/>
      <c r="BG63" s="366"/>
      <c r="BH63" s="366"/>
      <c r="BI63" s="366"/>
      <c r="BJ63" s="366"/>
      <c r="BK63" s="366"/>
      <c r="BL63" s="366"/>
      <c r="BM63" s="366"/>
      <c r="BN63" s="367"/>
    </row>
    <row r="64" spans="1:124" ht="7.5" customHeight="1" thickBot="1" x14ac:dyDescent="0.25">
      <c r="A64" s="94"/>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95"/>
      <c r="AT64" s="95"/>
      <c r="AU64" s="95"/>
      <c r="AV64" s="95"/>
      <c r="AW64" s="95"/>
      <c r="AX64" s="95"/>
      <c r="AY64" s="95"/>
      <c r="AZ64" s="95"/>
      <c r="BA64" s="95"/>
      <c r="BB64" s="95"/>
      <c r="BC64" s="95"/>
      <c r="BD64" s="95"/>
      <c r="BE64" s="95"/>
      <c r="BF64" s="95"/>
      <c r="BG64" s="95"/>
      <c r="BH64" s="95"/>
      <c r="BI64" s="95"/>
      <c r="BJ64" s="95"/>
      <c r="BK64" s="95"/>
      <c r="BL64" s="95"/>
      <c r="BM64" s="95"/>
      <c r="BN64" s="96"/>
      <c r="CG64" s="486" t="str">
        <f>IF(SUM(CM34:CM39)&gt;0,IF(CQ2=1,"国保から後期高齢者に異動して、被扶養者が１人だけ国保に残った世帯",""),"")</f>
        <v/>
      </c>
      <c r="CH64" s="487"/>
      <c r="CI64" s="487"/>
      <c r="CJ64" s="487"/>
      <c r="CK64" s="487"/>
      <c r="CL64" s="487"/>
      <c r="CM64" s="487"/>
      <c r="CN64" s="487"/>
      <c r="CO64" s="487"/>
      <c r="CP64" s="487"/>
      <c r="CQ64" s="487"/>
      <c r="CR64" s="487"/>
      <c r="CS64" s="487"/>
      <c r="CT64" s="487"/>
      <c r="CU64" s="487"/>
      <c r="CV64" s="487"/>
      <c r="CW64" s="487"/>
      <c r="CX64" s="487"/>
      <c r="CY64" s="487"/>
      <c r="CZ64" s="487"/>
      <c r="DA64" s="487"/>
      <c r="DB64" s="487"/>
      <c r="DC64" s="487"/>
      <c r="DD64" s="487"/>
      <c r="DE64" s="488"/>
      <c r="DH64" s="198"/>
      <c r="DI64" s="198"/>
      <c r="DJ64" s="198"/>
      <c r="DK64" s="198"/>
      <c r="DL64" s="198"/>
    </row>
    <row r="65" spans="85:116" ht="18" thickBot="1" x14ac:dyDescent="0.25">
      <c r="CG65" s="489"/>
      <c r="CH65" s="490"/>
      <c r="CI65" s="490"/>
      <c r="CJ65" s="490"/>
      <c r="CK65" s="490"/>
      <c r="CL65" s="490"/>
      <c r="CM65" s="490"/>
      <c r="CN65" s="490"/>
      <c r="CO65" s="490"/>
      <c r="CP65" s="490"/>
      <c r="CQ65" s="490"/>
      <c r="CR65" s="490"/>
      <c r="CS65" s="490"/>
      <c r="CT65" s="490"/>
      <c r="CU65" s="490"/>
      <c r="CV65" s="490"/>
      <c r="CW65" s="490"/>
      <c r="CX65" s="490"/>
      <c r="CY65" s="490"/>
      <c r="CZ65" s="490"/>
      <c r="DA65" s="490"/>
      <c r="DB65" s="490"/>
      <c r="DC65" s="490"/>
      <c r="DD65" s="490"/>
      <c r="DE65" s="491"/>
      <c r="DH65" s="506" t="str">
        <f>IF(CG64="",IF(CG66="",IF(CG68="","","平等割＋均等割半額"),"均等割半額"),"平等割半額")</f>
        <v/>
      </c>
      <c r="DI65" s="507"/>
      <c r="DJ65" s="507"/>
      <c r="DK65" s="507"/>
      <c r="DL65" s="508"/>
    </row>
    <row r="66" spans="85:116" x14ac:dyDescent="0.2">
      <c r="CG66" s="486" t="str">
        <f>IF(SUM(CL34:CL39)&gt;0,IF(SUM(CN34:CN39)&lt;CQ2,IF(SUM(CN34:CN39)&gt;0,"社保から後期高齢者に異動して、６５歳を含む被扶養者が国保に加入した世帯",""),""),"")</f>
        <v/>
      </c>
      <c r="CH66" s="487"/>
      <c r="CI66" s="487"/>
      <c r="CJ66" s="487"/>
      <c r="CK66" s="487"/>
      <c r="CL66" s="487"/>
      <c r="CM66" s="487"/>
      <c r="CN66" s="487"/>
      <c r="CO66" s="487"/>
      <c r="CP66" s="487"/>
      <c r="CQ66" s="487"/>
      <c r="CR66" s="487"/>
      <c r="CS66" s="487"/>
      <c r="CT66" s="487"/>
      <c r="CU66" s="487"/>
      <c r="CV66" s="487"/>
      <c r="CW66" s="487"/>
      <c r="CX66" s="487"/>
      <c r="CY66" s="487"/>
      <c r="CZ66" s="487"/>
      <c r="DA66" s="487"/>
      <c r="DB66" s="487"/>
      <c r="DC66" s="487"/>
      <c r="DD66" s="487"/>
      <c r="DE66" s="488"/>
      <c r="DH66" s="509"/>
      <c r="DI66" s="510"/>
      <c r="DJ66" s="510"/>
      <c r="DK66" s="510"/>
      <c r="DL66" s="511"/>
    </row>
    <row r="67" spans="85:116" ht="18" thickBot="1" x14ac:dyDescent="0.25">
      <c r="CG67" s="489"/>
      <c r="CH67" s="490"/>
      <c r="CI67" s="490"/>
      <c r="CJ67" s="490"/>
      <c r="CK67" s="490"/>
      <c r="CL67" s="490"/>
      <c r="CM67" s="490"/>
      <c r="CN67" s="490"/>
      <c r="CO67" s="490"/>
      <c r="CP67" s="490"/>
      <c r="CQ67" s="490"/>
      <c r="CR67" s="490"/>
      <c r="CS67" s="490"/>
      <c r="CT67" s="490"/>
      <c r="CU67" s="490"/>
      <c r="CV67" s="490"/>
      <c r="CW67" s="490"/>
      <c r="CX67" s="490"/>
      <c r="CY67" s="490"/>
      <c r="CZ67" s="490"/>
      <c r="DA67" s="490"/>
      <c r="DB67" s="490"/>
      <c r="DC67" s="490"/>
      <c r="DD67" s="490"/>
      <c r="DE67" s="491"/>
      <c r="DH67" s="509"/>
      <c r="DI67" s="510"/>
      <c r="DJ67" s="510"/>
      <c r="DK67" s="510"/>
      <c r="DL67" s="511"/>
    </row>
    <row r="68" spans="85:116" ht="18" thickBot="1" x14ac:dyDescent="0.25">
      <c r="CG68" s="486" t="str">
        <f>IF(SUM(CL34:CL39)&gt;0,IF(SUM(CN34:CN39)=CQ2,"社保から後期高齢者に異動して、６５歳のみの被扶養者が国保に加入した世帯",""),"")</f>
        <v/>
      </c>
      <c r="CH68" s="487"/>
      <c r="CI68" s="487"/>
      <c r="CJ68" s="487"/>
      <c r="CK68" s="487"/>
      <c r="CL68" s="487"/>
      <c r="CM68" s="487"/>
      <c r="CN68" s="487"/>
      <c r="CO68" s="487"/>
      <c r="CP68" s="487"/>
      <c r="CQ68" s="487"/>
      <c r="CR68" s="487"/>
      <c r="CS68" s="487"/>
      <c r="CT68" s="487"/>
      <c r="CU68" s="487"/>
      <c r="CV68" s="487"/>
      <c r="CW68" s="487"/>
      <c r="CX68" s="487"/>
      <c r="CY68" s="487"/>
      <c r="CZ68" s="487"/>
      <c r="DA68" s="487"/>
      <c r="DB68" s="487"/>
      <c r="DC68" s="487"/>
      <c r="DD68" s="487"/>
      <c r="DE68" s="488"/>
      <c r="DH68" s="512"/>
      <c r="DI68" s="513"/>
      <c r="DJ68" s="513"/>
      <c r="DK68" s="513"/>
      <c r="DL68" s="514"/>
    </row>
    <row r="69" spans="85:116" ht="18" thickBot="1" x14ac:dyDescent="0.25">
      <c r="CG69" s="489"/>
      <c r="CH69" s="490"/>
      <c r="CI69" s="490"/>
      <c r="CJ69" s="490"/>
      <c r="CK69" s="490"/>
      <c r="CL69" s="490"/>
      <c r="CM69" s="490"/>
      <c r="CN69" s="490"/>
      <c r="CO69" s="490"/>
      <c r="CP69" s="490"/>
      <c r="CQ69" s="490"/>
      <c r="CR69" s="490"/>
      <c r="CS69" s="490"/>
      <c r="CT69" s="490"/>
      <c r="CU69" s="490"/>
      <c r="CV69" s="490"/>
      <c r="CW69" s="490"/>
      <c r="CX69" s="490"/>
      <c r="CY69" s="490"/>
      <c r="CZ69" s="490"/>
      <c r="DA69" s="490"/>
      <c r="DB69" s="490"/>
      <c r="DC69" s="490"/>
      <c r="DD69" s="490"/>
      <c r="DE69" s="491"/>
    </row>
    <row r="70" spans="85:116" x14ac:dyDescent="0.2">
      <c r="CG70" s="150" t="s">
        <v>137</v>
      </c>
      <c r="CH70" s="199"/>
      <c r="DL70" s="200" t="str">
        <f>IF(DH65="","",IF(DD2="","",IF(DD2="２割軽減",IF(DH65="平等割半額","","※２割軽減は半額軽減に非該当の方のみ該当します。"),IF(DH65="平等割半額","","※７割・５割軽減世帯の場合は、軽減が優先されるため半額措置されません。"))))</f>
        <v/>
      </c>
    </row>
  </sheetData>
  <protectedRanges>
    <protectedRange sqref="AB4:AF75" name="範囲1"/>
  </protectedRanges>
  <mergeCells count="483">
    <mergeCell ref="DO17:DR17"/>
    <mergeCell ref="CG10:CI10"/>
    <mergeCell ref="CZ10:DC10"/>
    <mergeCell ref="DH65:DL68"/>
    <mergeCell ref="CG51:CH51"/>
    <mergeCell ref="CR46:CU46"/>
    <mergeCell ref="CR47:CU47"/>
    <mergeCell ref="CR48:CU48"/>
    <mergeCell ref="CR42:CU42"/>
    <mergeCell ref="CR43:CU43"/>
    <mergeCell ref="CR44:CU44"/>
    <mergeCell ref="CP21:CU21"/>
    <mergeCell ref="CP22:CU22"/>
    <mergeCell ref="CP23:CU23"/>
    <mergeCell ref="CP24:CU24"/>
    <mergeCell ref="CT51:CU51"/>
    <mergeCell ref="CV51:CY51"/>
    <mergeCell ref="CT52:CU52"/>
    <mergeCell ref="CV52:CY52"/>
    <mergeCell ref="CT53:CU53"/>
    <mergeCell ref="CV53:CY53"/>
    <mergeCell ref="CY44:DB44"/>
    <mergeCell ref="DK34:DL35"/>
    <mergeCell ref="CY45:DB45"/>
    <mergeCell ref="CG61:CK61"/>
    <mergeCell ref="CL61:CP61"/>
    <mergeCell ref="CG39:CI39"/>
    <mergeCell ref="DO8:DR8"/>
    <mergeCell ref="DO9:DR9"/>
    <mergeCell ref="DO10:DR10"/>
    <mergeCell ref="DO13:DR13"/>
    <mergeCell ref="CG2:CJ5"/>
    <mergeCell ref="CK4:CP5"/>
    <mergeCell ref="CQ4:CR5"/>
    <mergeCell ref="DE9:DH9"/>
    <mergeCell ref="CG15:CL15"/>
    <mergeCell ref="CG16:CL16"/>
    <mergeCell ref="CG21:CL21"/>
    <mergeCell ref="DE10:DH10"/>
    <mergeCell ref="DB21:DC21"/>
    <mergeCell ref="DO14:DR14"/>
    <mergeCell ref="DO15:DR15"/>
    <mergeCell ref="DO12:DR12"/>
    <mergeCell ref="DO18:DR18"/>
    <mergeCell ref="DO16:DR16"/>
    <mergeCell ref="CM45:CP45"/>
    <mergeCell ref="CN51:CQ51"/>
    <mergeCell ref="CJ55:CL55"/>
    <mergeCell ref="CG57:CI57"/>
    <mergeCell ref="CF1:DM1"/>
    <mergeCell ref="CJ9:CN9"/>
    <mergeCell ref="DD2:DH4"/>
    <mergeCell ref="CK2:CP3"/>
    <mergeCell ref="CQ2:CR3"/>
    <mergeCell ref="CU9:CX9"/>
    <mergeCell ref="CZ9:DC9"/>
    <mergeCell ref="CG11:CI11"/>
    <mergeCell ref="CP11:CS11"/>
    <mergeCell ref="CU11:CX11"/>
    <mergeCell ref="CZ11:DC11"/>
    <mergeCell ref="DE11:DH11"/>
    <mergeCell ref="DE8:DH8"/>
    <mergeCell ref="CY46:DB46"/>
    <mergeCell ref="CY47:DB47"/>
    <mergeCell ref="CY48:DB48"/>
    <mergeCell ref="CR45:CU45"/>
    <mergeCell ref="CG37:CI37"/>
    <mergeCell ref="CH48:CK48"/>
    <mergeCell ref="CH47:CK47"/>
    <mergeCell ref="CH42:CK42"/>
    <mergeCell ref="CH43:CK43"/>
    <mergeCell ref="CG38:CI38"/>
    <mergeCell ref="CG60:CK60"/>
    <mergeCell ref="CG66:DE67"/>
    <mergeCell ref="CG68:DE69"/>
    <mergeCell ref="CP10:CS10"/>
    <mergeCell ref="CG31:CJ31"/>
    <mergeCell ref="CG29:CJ29"/>
    <mergeCell ref="CU10:CX10"/>
    <mergeCell ref="CG30:CJ30"/>
    <mergeCell ref="CG22:CL22"/>
    <mergeCell ref="CG34:CI34"/>
    <mergeCell ref="CG28:CJ28"/>
    <mergeCell ref="CG27:CJ27"/>
    <mergeCell ref="CG23:CL23"/>
    <mergeCell ref="CG24:CL24"/>
    <mergeCell ref="CY42:DB42"/>
    <mergeCell ref="CY43:DB43"/>
    <mergeCell ref="CG35:CI35"/>
    <mergeCell ref="CL60:CP60"/>
    <mergeCell ref="DB62:DE62"/>
    <mergeCell ref="CJ11:CN11"/>
    <mergeCell ref="CM42:CP42"/>
    <mergeCell ref="CG64:DE65"/>
    <mergeCell ref="DB23:DC23"/>
    <mergeCell ref="CJ57:CL57"/>
    <mergeCell ref="CT60:CW60"/>
    <mergeCell ref="CT61:CW61"/>
    <mergeCell ref="CT62:CW62"/>
    <mergeCell ref="CR60:CS60"/>
    <mergeCell ref="CR61:CS61"/>
    <mergeCell ref="CR62:CS62"/>
    <mergeCell ref="CZ60:DA60"/>
    <mergeCell ref="DB60:DE60"/>
    <mergeCell ref="CZ61:DA61"/>
    <mergeCell ref="DB61:DE61"/>
    <mergeCell ref="CZ62:DA62"/>
    <mergeCell ref="CG36:CI36"/>
    <mergeCell ref="CM43:CP43"/>
    <mergeCell ref="CM44:CP44"/>
    <mergeCell ref="CG55:CI55"/>
    <mergeCell ref="CN53:CQ53"/>
    <mergeCell ref="CG53:CH53"/>
    <mergeCell ref="CM46:CP46"/>
    <mergeCell ref="CM47:CP47"/>
    <mergeCell ref="CM48:CP48"/>
    <mergeCell ref="CI52:CL52"/>
    <mergeCell ref="CI53:CL53"/>
    <mergeCell ref="CI51:CL51"/>
    <mergeCell ref="CG52:CH52"/>
    <mergeCell ref="CH44:CK44"/>
    <mergeCell ref="CH45:CK45"/>
    <mergeCell ref="CH46:CK46"/>
    <mergeCell ref="CJ12:CQ12"/>
    <mergeCell ref="CS12:CV12"/>
    <mergeCell ref="CX12:DA12"/>
    <mergeCell ref="DC12:DF12"/>
    <mergeCell ref="DH12:DK12"/>
    <mergeCell ref="CJ8:CN8"/>
    <mergeCell ref="CP8:CS8"/>
    <mergeCell ref="CU8:CX8"/>
    <mergeCell ref="CP9:CS9"/>
    <mergeCell ref="CJ10:CN10"/>
    <mergeCell ref="CZ34:DD34"/>
    <mergeCell ref="CZ36:DD36"/>
    <mergeCell ref="CZ35:DD35"/>
    <mergeCell ref="CZ37:DD37"/>
    <mergeCell ref="CZ8:DC8"/>
    <mergeCell ref="DG34:DJ35"/>
    <mergeCell ref="DM34:DM35"/>
    <mergeCell ref="CU34:CY34"/>
    <mergeCell ref="CU35:CY35"/>
    <mergeCell ref="CU36:CY36"/>
    <mergeCell ref="CT37:CY37"/>
    <mergeCell ref="AJ54:AK54"/>
    <mergeCell ref="AL54:AM54"/>
    <mergeCell ref="AP56:AQ56"/>
    <mergeCell ref="AN54:AO54"/>
    <mergeCell ref="AR54:AS54"/>
    <mergeCell ref="BO50:BQ50"/>
    <mergeCell ref="BB53:BC53"/>
    <mergeCell ref="BH56:BK56"/>
    <mergeCell ref="BF54:BG54"/>
    <mergeCell ref="BH54:BK54"/>
    <mergeCell ref="BF56:BG56"/>
    <mergeCell ref="AZ56:BA56"/>
    <mergeCell ref="BB56:BC56"/>
    <mergeCell ref="BD56:BE56"/>
    <mergeCell ref="BJ28:BL28"/>
    <mergeCell ref="AN56:AO56"/>
    <mergeCell ref="BT16:BV16"/>
    <mergeCell ref="BT17:BV17"/>
    <mergeCell ref="BT18:BV18"/>
    <mergeCell ref="BT19:BV19"/>
    <mergeCell ref="BP16:BR16"/>
    <mergeCell ref="BP19:BR19"/>
    <mergeCell ref="BP17:BR17"/>
    <mergeCell ref="BP18:BR18"/>
    <mergeCell ref="AV53:AW53"/>
    <mergeCell ref="BP20:BR20"/>
    <mergeCell ref="BP21:BR21"/>
    <mergeCell ref="AR56:AS56"/>
    <mergeCell ref="AT56:AU56"/>
    <mergeCell ref="BD53:BE53"/>
    <mergeCell ref="BD54:BE54"/>
    <mergeCell ref="BF53:BG53"/>
    <mergeCell ref="BO46:BQ46"/>
    <mergeCell ref="BT20:BV20"/>
    <mergeCell ref="BP28:BR28"/>
    <mergeCell ref="BT28:BV28"/>
    <mergeCell ref="BT24:BV24"/>
    <mergeCell ref="BP29:BR29"/>
    <mergeCell ref="BE14:BG14"/>
    <mergeCell ref="BB16:BC16"/>
    <mergeCell ref="BB18:BC18"/>
    <mergeCell ref="AN16:AQ16"/>
    <mergeCell ref="AT16:AV16"/>
    <mergeCell ref="BE16:BG16"/>
    <mergeCell ref="AJ14:AL14"/>
    <mergeCell ref="AT14:AV14"/>
    <mergeCell ref="AJ18:AL18"/>
    <mergeCell ref="AY18:AZ18"/>
    <mergeCell ref="BE18:BG18"/>
    <mergeCell ref="AY16:AZ16"/>
    <mergeCell ref="AJ12:AL12"/>
    <mergeCell ref="AN12:AQ12"/>
    <mergeCell ref="AT12:AV12"/>
    <mergeCell ref="AY12:AZ12"/>
    <mergeCell ref="BB12:BC12"/>
    <mergeCell ref="BE12:BG12"/>
    <mergeCell ref="X42:Z42"/>
    <mergeCell ref="AC42:AE42"/>
    <mergeCell ref="X20:Z20"/>
    <mergeCell ref="AY22:AZ22"/>
    <mergeCell ref="AU32:AX32"/>
    <mergeCell ref="BE35:BH35"/>
    <mergeCell ref="BF41:BJ42"/>
    <mergeCell ref="BE32:BH32"/>
    <mergeCell ref="BJ24:BL24"/>
    <mergeCell ref="AZ32:BC32"/>
    <mergeCell ref="AY20:AZ20"/>
    <mergeCell ref="BJ12:BL12"/>
    <mergeCell ref="BJ16:BL16"/>
    <mergeCell ref="BJ14:BL14"/>
    <mergeCell ref="AZ35:BC35"/>
    <mergeCell ref="AJ16:AL16"/>
    <mergeCell ref="AY14:AZ14"/>
    <mergeCell ref="BB14:BC14"/>
    <mergeCell ref="U40:V40"/>
    <mergeCell ref="AV48:AW48"/>
    <mergeCell ref="AQ41:AU42"/>
    <mergeCell ref="AN53:AO53"/>
    <mergeCell ref="AP53:AQ53"/>
    <mergeCell ref="AR53:AS53"/>
    <mergeCell ref="AN14:AQ14"/>
    <mergeCell ref="AT18:AV18"/>
    <mergeCell ref="AJ20:AL20"/>
    <mergeCell ref="AN20:AQ20"/>
    <mergeCell ref="AT20:AV20"/>
    <mergeCell ref="AC18:AE18"/>
    <mergeCell ref="X18:Z18"/>
    <mergeCell ref="AT22:AV22"/>
    <mergeCell ref="AP48:AU48"/>
    <mergeCell ref="AQ50:AU50"/>
    <mergeCell ref="AV50:AW50"/>
    <mergeCell ref="AN18:AQ18"/>
    <mergeCell ref="AJ22:AL22"/>
    <mergeCell ref="AN22:AQ22"/>
    <mergeCell ref="AC24:AE24"/>
    <mergeCell ref="AC22:AE22"/>
    <mergeCell ref="X22:Z22"/>
    <mergeCell ref="AC20:AE20"/>
    <mergeCell ref="X63:AA63"/>
    <mergeCell ref="D63:G63"/>
    <mergeCell ref="I63:L63"/>
    <mergeCell ref="N63:Q63"/>
    <mergeCell ref="S63:V63"/>
    <mergeCell ref="W54:Z54"/>
    <mergeCell ref="AK35:AN35"/>
    <mergeCell ref="AC44:AE44"/>
    <mergeCell ref="R48:S48"/>
    <mergeCell ref="C46:E46"/>
    <mergeCell ref="G46:J46"/>
    <mergeCell ref="M46:O46"/>
    <mergeCell ref="R46:S46"/>
    <mergeCell ref="S60:V60"/>
    <mergeCell ref="X48:Z48"/>
    <mergeCell ref="AC48:AE48"/>
    <mergeCell ref="U48:V48"/>
    <mergeCell ref="U50:V50"/>
    <mergeCell ref="X50:Z50"/>
    <mergeCell ref="AC50:AE50"/>
    <mergeCell ref="X60:AA60"/>
    <mergeCell ref="AC52:AE52"/>
    <mergeCell ref="AL41:AP42"/>
    <mergeCell ref="X40:Z40"/>
    <mergeCell ref="AC56:AE56"/>
    <mergeCell ref="E53:H53"/>
    <mergeCell ref="I53:L53"/>
    <mergeCell ref="E55:H55"/>
    <mergeCell ref="N60:Q60"/>
    <mergeCell ref="D60:G60"/>
    <mergeCell ref="I60:L60"/>
    <mergeCell ref="I55:L55"/>
    <mergeCell ref="C50:E50"/>
    <mergeCell ref="G50:J50"/>
    <mergeCell ref="M50:O50"/>
    <mergeCell ref="R50:S50"/>
    <mergeCell ref="S54:V54"/>
    <mergeCell ref="B5:E6"/>
    <mergeCell ref="L5:M5"/>
    <mergeCell ref="F5:K5"/>
    <mergeCell ref="L6:M6"/>
    <mergeCell ref="F6:K6"/>
    <mergeCell ref="AB6:AF7"/>
    <mergeCell ref="AB4:AF5"/>
    <mergeCell ref="A1:AG1"/>
    <mergeCell ref="U16:V16"/>
    <mergeCell ref="X16:Z16"/>
    <mergeCell ref="U12:V12"/>
    <mergeCell ref="R14:S14"/>
    <mergeCell ref="U14:V14"/>
    <mergeCell ref="X12:Z12"/>
    <mergeCell ref="X14:Z14"/>
    <mergeCell ref="AC12:AE12"/>
    <mergeCell ref="AC14:AE14"/>
    <mergeCell ref="C12:E12"/>
    <mergeCell ref="M12:O12"/>
    <mergeCell ref="M14:O14"/>
    <mergeCell ref="AC16:AE16"/>
    <mergeCell ref="M16:O16"/>
    <mergeCell ref="R16:S16"/>
    <mergeCell ref="C14:E14"/>
    <mergeCell ref="C20:E20"/>
    <mergeCell ref="G20:J20"/>
    <mergeCell ref="M20:O20"/>
    <mergeCell ref="C22:E22"/>
    <mergeCell ref="G22:J22"/>
    <mergeCell ref="I25:L25"/>
    <mergeCell ref="U18:V18"/>
    <mergeCell ref="R12:S12"/>
    <mergeCell ref="C18:E18"/>
    <mergeCell ref="G18:J18"/>
    <mergeCell ref="C16:E16"/>
    <mergeCell ref="G16:J16"/>
    <mergeCell ref="R18:S18"/>
    <mergeCell ref="M18:O18"/>
    <mergeCell ref="G12:J12"/>
    <mergeCell ref="G14:J14"/>
    <mergeCell ref="U22:V22"/>
    <mergeCell ref="M22:O22"/>
    <mergeCell ref="R20:S20"/>
    <mergeCell ref="U20:V20"/>
    <mergeCell ref="R22:S22"/>
    <mergeCell ref="D32:G32"/>
    <mergeCell ref="I32:L32"/>
    <mergeCell ref="E27:H27"/>
    <mergeCell ref="I27:L27"/>
    <mergeCell ref="AL25:AO25"/>
    <mergeCell ref="AP25:AS25"/>
    <mergeCell ref="AL27:AO27"/>
    <mergeCell ref="AP27:AS27"/>
    <mergeCell ref="W26:Z26"/>
    <mergeCell ref="S26:V26"/>
    <mergeCell ref="N32:Q32"/>
    <mergeCell ref="S32:V32"/>
    <mergeCell ref="X32:AA32"/>
    <mergeCell ref="AC28:AE28"/>
    <mergeCell ref="AP32:AS32"/>
    <mergeCell ref="E25:H25"/>
    <mergeCell ref="C48:E48"/>
    <mergeCell ref="G48:J48"/>
    <mergeCell ref="M48:O48"/>
    <mergeCell ref="AJ53:AK53"/>
    <mergeCell ref="AL53:AM53"/>
    <mergeCell ref="BA41:BE42"/>
    <mergeCell ref="AP35:AS35"/>
    <mergeCell ref="BR46:BT46"/>
    <mergeCell ref="AZ26:BC26"/>
    <mergeCell ref="AK32:AN32"/>
    <mergeCell ref="BD26:BG26"/>
    <mergeCell ref="D35:G35"/>
    <mergeCell ref="I35:L35"/>
    <mergeCell ref="N35:Q35"/>
    <mergeCell ref="S35:V35"/>
    <mergeCell ref="AU35:AX35"/>
    <mergeCell ref="AC40:AE40"/>
    <mergeCell ref="U46:V46"/>
    <mergeCell ref="X46:Z46"/>
    <mergeCell ref="AC46:AE46"/>
    <mergeCell ref="X35:AA35"/>
    <mergeCell ref="U44:V44"/>
    <mergeCell ref="X44:Z44"/>
    <mergeCell ref="U42:V42"/>
    <mergeCell ref="C40:E40"/>
    <mergeCell ref="G40:J40"/>
    <mergeCell ref="M40:O40"/>
    <mergeCell ref="R40:S40"/>
    <mergeCell ref="C44:E44"/>
    <mergeCell ref="G44:J44"/>
    <mergeCell ref="M44:O44"/>
    <mergeCell ref="R44:S44"/>
    <mergeCell ref="C42:E42"/>
    <mergeCell ref="G42:J42"/>
    <mergeCell ref="M42:O42"/>
    <mergeCell ref="R42:S42"/>
    <mergeCell ref="CB7:CD7"/>
    <mergeCell ref="CB15:CD15"/>
    <mergeCell ref="BP15:BR15"/>
    <mergeCell ref="CB9:CD9"/>
    <mergeCell ref="BP7:BR7"/>
    <mergeCell ref="BT11:BV11"/>
    <mergeCell ref="BT12:BV12"/>
    <mergeCell ref="BT15:BV15"/>
    <mergeCell ref="BP10:BR10"/>
    <mergeCell ref="BT7:BV7"/>
    <mergeCell ref="BT9:BV9"/>
    <mergeCell ref="BT10:BV10"/>
    <mergeCell ref="BT8:BV8"/>
    <mergeCell ref="BP13:BR13"/>
    <mergeCell ref="BP9:BR9"/>
    <mergeCell ref="BP8:BR8"/>
    <mergeCell ref="BT13:BV13"/>
    <mergeCell ref="BP11:BR11"/>
    <mergeCell ref="BP12:BR12"/>
    <mergeCell ref="BX7:BZ7"/>
    <mergeCell ref="BX8:BZ8"/>
    <mergeCell ref="BX9:BZ9"/>
    <mergeCell ref="BX10:BZ10"/>
    <mergeCell ref="BX11:BZ11"/>
    <mergeCell ref="BT29:BV29"/>
    <mergeCell ref="BO47:BQ47"/>
    <mergeCell ref="BO49:BQ49"/>
    <mergeCell ref="BR47:BT47"/>
    <mergeCell ref="AN57:AO57"/>
    <mergeCell ref="AP57:AQ57"/>
    <mergeCell ref="AR57:AS57"/>
    <mergeCell ref="AT57:AU57"/>
    <mergeCell ref="AT53:AU53"/>
    <mergeCell ref="AX53:AY53"/>
    <mergeCell ref="AX56:AY56"/>
    <mergeCell ref="AV56:AW56"/>
    <mergeCell ref="AZ54:BA54"/>
    <mergeCell ref="AT54:AU54"/>
    <mergeCell ref="AP54:AQ54"/>
    <mergeCell ref="AZ53:BA53"/>
    <mergeCell ref="AV54:AW54"/>
    <mergeCell ref="AX54:AY54"/>
    <mergeCell ref="BR48:BT48"/>
    <mergeCell ref="BO48:BQ48"/>
    <mergeCell ref="BR50:BT50"/>
    <mergeCell ref="BR49:BT49"/>
    <mergeCell ref="BB20:BC20"/>
    <mergeCell ref="BE20:BG20"/>
    <mergeCell ref="BJ20:BL20"/>
    <mergeCell ref="BT21:BV21"/>
    <mergeCell ref="BP23:BR23"/>
    <mergeCell ref="BT23:BV23"/>
    <mergeCell ref="BP24:BR24"/>
    <mergeCell ref="BB54:BC54"/>
    <mergeCell ref="CB17:CD17"/>
    <mergeCell ref="BB48:BD48"/>
    <mergeCell ref="BB50:BD50"/>
    <mergeCell ref="BH53:BK53"/>
    <mergeCell ref="BB22:BC22"/>
    <mergeCell ref="BE22:BG22"/>
    <mergeCell ref="BJ22:BL22"/>
    <mergeCell ref="BJ18:BL18"/>
    <mergeCell ref="CB23:CD23"/>
    <mergeCell ref="CB25:CD25"/>
    <mergeCell ref="BP25:BR25"/>
    <mergeCell ref="BT25:BV25"/>
    <mergeCell ref="BP26:BR26"/>
    <mergeCell ref="BT26:BV26"/>
    <mergeCell ref="BP27:BR27"/>
    <mergeCell ref="BT27:BV27"/>
    <mergeCell ref="AH62:BN63"/>
    <mergeCell ref="AV58:AW58"/>
    <mergeCell ref="AX58:AY58"/>
    <mergeCell ref="AZ58:BA58"/>
    <mergeCell ref="BB58:BC58"/>
    <mergeCell ref="BD58:BE58"/>
    <mergeCell ref="AX57:AY57"/>
    <mergeCell ref="AZ57:BA57"/>
    <mergeCell ref="BH58:BK58"/>
    <mergeCell ref="AN58:AO58"/>
    <mergeCell ref="AP58:AQ58"/>
    <mergeCell ref="AR58:AS58"/>
    <mergeCell ref="AT58:AU58"/>
    <mergeCell ref="AV57:AW57"/>
    <mergeCell ref="AH60:BN61"/>
    <mergeCell ref="BF58:BG58"/>
    <mergeCell ref="BB57:BC57"/>
    <mergeCell ref="AJ59:BJ59"/>
    <mergeCell ref="BD57:BE57"/>
    <mergeCell ref="BF57:BG57"/>
    <mergeCell ref="BH57:BK57"/>
    <mergeCell ref="BX23:BZ23"/>
    <mergeCell ref="BX24:BZ24"/>
    <mergeCell ref="BX25:BZ25"/>
    <mergeCell ref="BX26:BZ26"/>
    <mergeCell ref="BX27:BZ27"/>
    <mergeCell ref="BX28:BZ28"/>
    <mergeCell ref="BX29:BZ29"/>
    <mergeCell ref="BX12:BZ12"/>
    <mergeCell ref="BX13:BZ13"/>
    <mergeCell ref="BX15:BZ15"/>
    <mergeCell ref="BX16:BZ16"/>
    <mergeCell ref="BX17:BZ17"/>
    <mergeCell ref="BX18:BZ18"/>
    <mergeCell ref="BX19:BZ19"/>
    <mergeCell ref="BX20:BZ20"/>
    <mergeCell ref="BX21:BZ21"/>
  </mergeCells>
  <phoneticPr fontId="2"/>
  <conditionalFormatting sqref="BL11">
    <cfRule type="cellIs" priority="1" stopIfTrue="1" operator="notEqual">
      <formula>$BB$12</formula>
    </cfRule>
  </conditionalFormatting>
  <dataValidations count="3">
    <dataValidation type="list" allowBlank="1" showInputMessage="1" showErrorMessage="1" sqref="DO9:DR9" xr:uid="{00000000-0002-0000-0100-000002000000}">
      <formula1>$AH$21:$AH$24</formula1>
    </dataValidation>
    <dataValidation type="list" allowBlank="1" showInputMessage="1" showErrorMessage="1" sqref="DO10:DR10" xr:uid="{00000000-0002-0000-0100-000001000000}">
      <formula1>$AH$27:$AH$31</formula1>
    </dataValidation>
    <dataValidation imeMode="off" allowBlank="1" showInputMessage="1" showErrorMessage="1" sqref="DB23:DC23 DO12:DR15 DB21:DC21 CJ10:CN10 CP10:CS10 DE10:DH10 CZ10:DC10 CU10:CX10" xr:uid="{00000000-0002-0000-0000-000000000000}"/>
  </dataValidations>
  <pageMargins left="0.70866141732283472" right="0.59055118110236227" top="0.19685039370078741" bottom="0.19685039370078741" header="0.19685039370078741" footer="0.19685039370078741"/>
  <pageSetup paperSize="9" scale="7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54"/>
  <sheetViews>
    <sheetView view="pageBreakPreview" zoomScaleNormal="100" zoomScaleSheetLayoutView="100" workbookViewId="0">
      <selection activeCell="B16" sqref="B16:N16"/>
    </sheetView>
  </sheetViews>
  <sheetFormatPr defaultColWidth="3.33203125" defaultRowHeight="13.2" x14ac:dyDescent="0.2"/>
  <cols>
    <col min="1" max="3" width="2.77734375" customWidth="1"/>
    <col min="4" max="4" width="2.6640625" customWidth="1"/>
    <col min="5" max="32" width="2.77734375" customWidth="1"/>
  </cols>
  <sheetData>
    <row r="1" spans="1:32" ht="27.75" customHeight="1" x14ac:dyDescent="0.2">
      <c r="A1" s="595" t="str">
        <f>試算表!A1</f>
        <v>国民健康保険料試算</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row>
    <row r="2" spans="1:32" ht="13.5" customHeight="1" x14ac:dyDescent="0.2">
      <c r="A2" s="23"/>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row>
    <row r="3" spans="1:32" ht="13.5" customHeight="1" thickBot="1" x14ac:dyDescent="0.25">
      <c r="A3" s="23"/>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23"/>
    </row>
    <row r="4" spans="1:32" ht="13.5" customHeight="1" thickBot="1" x14ac:dyDescent="0.25">
      <c r="A4" s="23"/>
      <c r="B4" s="23"/>
      <c r="C4" s="23"/>
      <c r="D4" s="23"/>
      <c r="E4" s="23"/>
      <c r="F4" s="23"/>
      <c r="G4" s="23"/>
      <c r="H4" s="23"/>
      <c r="I4" s="23"/>
      <c r="J4" s="23"/>
      <c r="K4" s="23"/>
      <c r="L4" s="23"/>
      <c r="M4" s="23"/>
      <c r="N4" s="23"/>
      <c r="O4" s="23"/>
      <c r="P4" s="23"/>
      <c r="Q4" s="23"/>
      <c r="R4" s="23"/>
      <c r="S4" s="23"/>
      <c r="T4" s="23"/>
      <c r="U4" s="23"/>
      <c r="V4" s="23"/>
      <c r="W4" s="23"/>
      <c r="X4" s="23"/>
      <c r="Y4" s="23"/>
      <c r="Z4" s="23"/>
      <c r="AA4" s="432" t="str">
        <f>試算表!DD2</f>
        <v>７割軽減</v>
      </c>
      <c r="AB4" s="433"/>
      <c r="AC4" s="433"/>
      <c r="AD4" s="433"/>
      <c r="AE4" s="434"/>
      <c r="AF4" s="23"/>
    </row>
    <row r="5" spans="1:32" ht="13.5" customHeight="1" thickBot="1" x14ac:dyDescent="0.25">
      <c r="A5" s="23"/>
      <c r="B5" s="420" t="s">
        <v>14</v>
      </c>
      <c r="C5" s="420"/>
      <c r="D5" s="420"/>
      <c r="E5" s="420"/>
      <c r="F5" s="414" t="s">
        <v>65</v>
      </c>
      <c r="G5" s="415"/>
      <c r="H5" s="415"/>
      <c r="I5" s="415"/>
      <c r="J5" s="415"/>
      <c r="K5" s="423"/>
      <c r="L5" s="421">
        <f>試算表!CQ2</f>
        <v>0</v>
      </c>
      <c r="M5" s="422"/>
      <c r="N5" s="39" t="s">
        <v>113</v>
      </c>
      <c r="O5" s="40"/>
      <c r="P5" s="41"/>
      <c r="Q5" s="23"/>
      <c r="R5" s="23"/>
      <c r="S5" s="23"/>
      <c r="T5" s="23"/>
      <c r="U5" s="23"/>
      <c r="V5" s="23"/>
      <c r="W5" s="23"/>
      <c r="X5" s="23"/>
      <c r="Y5" s="23"/>
      <c r="Z5" s="42"/>
      <c r="AA5" s="435"/>
      <c r="AB5" s="436"/>
      <c r="AC5" s="436"/>
      <c r="AD5" s="436"/>
      <c r="AE5" s="437"/>
      <c r="AF5" s="23"/>
    </row>
    <row r="6" spans="1:32" s="4" customFormat="1" ht="13.5" customHeight="1" thickBot="1" x14ac:dyDescent="0.25">
      <c r="A6" s="23"/>
      <c r="B6" s="420"/>
      <c r="C6" s="420"/>
      <c r="D6" s="420"/>
      <c r="E6" s="420"/>
      <c r="F6" s="414" t="s">
        <v>112</v>
      </c>
      <c r="G6" s="415"/>
      <c r="H6" s="415"/>
      <c r="I6" s="415"/>
      <c r="J6" s="415"/>
      <c r="K6" s="423"/>
      <c r="L6" s="424">
        <f>試算表!CQ4</f>
        <v>0</v>
      </c>
      <c r="M6" s="425"/>
      <c r="N6" s="44" t="s">
        <v>113</v>
      </c>
      <c r="O6" s="45" t="s">
        <v>114</v>
      </c>
      <c r="P6" s="41"/>
      <c r="Q6" s="23"/>
      <c r="R6" s="23"/>
      <c r="S6" s="23"/>
      <c r="T6" s="23"/>
      <c r="U6" s="23"/>
      <c r="V6" s="23"/>
      <c r="W6" s="23"/>
      <c r="X6" s="23"/>
      <c r="Y6" s="23"/>
      <c r="Z6" s="42"/>
      <c r="AA6" s="426" t="str">
        <f>IF(AA4="",試算表!DH65,IF(AA4="２割軽減",試算表!DH65,IF(試算表!DH65="平等割半額",試算表!DH65,"軽減優先")))</f>
        <v>軽減優先</v>
      </c>
      <c r="AB6" s="427"/>
      <c r="AC6" s="427"/>
      <c r="AD6" s="427"/>
      <c r="AE6" s="428"/>
      <c r="AF6" s="23"/>
    </row>
    <row r="7" spans="1:32" s="4" customFormat="1" ht="13.5" customHeight="1" thickBot="1" x14ac:dyDescent="0.2">
      <c r="A7" s="8"/>
      <c r="B7" s="8"/>
      <c r="C7" s="8"/>
      <c r="D7" s="8"/>
      <c r="E7" s="8"/>
      <c r="F7" s="8"/>
      <c r="G7" s="8"/>
      <c r="H7" s="8"/>
      <c r="I7" s="8"/>
      <c r="J7" s="8"/>
      <c r="K7" s="8"/>
      <c r="L7" s="28"/>
      <c r="M7" s="29"/>
      <c r="N7" s="8"/>
      <c r="O7" s="8"/>
      <c r="P7" s="8"/>
      <c r="Q7" s="8"/>
      <c r="R7" s="8"/>
      <c r="S7" s="8"/>
      <c r="T7" s="8"/>
      <c r="U7" s="8"/>
      <c r="V7" s="8"/>
      <c r="W7" s="8"/>
      <c r="X7" s="8"/>
      <c r="Y7" s="8"/>
      <c r="Z7" s="42"/>
      <c r="AA7" s="429"/>
      <c r="AB7" s="430"/>
      <c r="AC7" s="430"/>
      <c r="AD7" s="430"/>
      <c r="AE7" s="431"/>
      <c r="AF7" s="8"/>
    </row>
    <row r="8" spans="1:32" s="4" customFormat="1" ht="11.25" customHeight="1" x14ac:dyDescent="0.15">
      <c r="A8" s="8"/>
      <c r="B8" s="46"/>
      <c r="C8" s="46"/>
      <c r="D8" s="46"/>
      <c r="E8" s="46"/>
      <c r="F8" s="47"/>
      <c r="G8" s="47"/>
      <c r="H8" s="47"/>
      <c r="I8" s="47"/>
      <c r="J8" s="47"/>
      <c r="K8" s="47"/>
      <c r="L8" s="47"/>
      <c r="M8" s="47"/>
      <c r="N8" s="47"/>
      <c r="O8" s="47"/>
      <c r="P8" s="47"/>
      <c r="Q8" s="47"/>
      <c r="R8" s="47"/>
      <c r="S8" s="47"/>
      <c r="T8" s="47"/>
      <c r="U8" s="47"/>
      <c r="V8" s="47"/>
      <c r="W8" s="47"/>
      <c r="X8" s="47"/>
      <c r="Y8" s="47"/>
      <c r="Z8" s="47"/>
      <c r="AA8" s="8"/>
      <c r="AB8" s="8"/>
      <c r="AC8" s="8"/>
      <c r="AD8" s="8"/>
      <c r="AE8" s="8"/>
      <c r="AF8" s="8"/>
    </row>
    <row r="9" spans="1:32" ht="13.8" thickBot="1" x14ac:dyDescent="0.25">
      <c r="A9" s="18"/>
      <c r="B9" s="18"/>
      <c r="C9" s="18"/>
      <c r="D9" s="18"/>
      <c r="E9" s="18"/>
      <c r="F9" s="18"/>
      <c r="G9" s="18"/>
    </row>
    <row r="10" spans="1:32" s="4" customFormat="1" ht="16.5" customHeight="1" thickBot="1" x14ac:dyDescent="0.2">
      <c r="B10" s="122"/>
      <c r="C10" s="123"/>
      <c r="D10" s="123"/>
      <c r="E10" s="123"/>
      <c r="F10" s="123"/>
      <c r="G10" s="123"/>
      <c r="H10" s="124"/>
      <c r="I10" s="574" t="s">
        <v>177</v>
      </c>
      <c r="J10" s="575"/>
      <c r="K10" s="575"/>
      <c r="L10" s="575"/>
      <c r="M10" s="575"/>
      <c r="N10" s="575"/>
      <c r="O10" s="575"/>
      <c r="P10" s="575"/>
      <c r="Q10" s="575"/>
      <c r="R10" s="575"/>
      <c r="S10" s="575"/>
      <c r="T10" s="576"/>
    </row>
    <row r="11" spans="1:32" s="4" customFormat="1" ht="16.5" customHeight="1" x14ac:dyDescent="0.15">
      <c r="B11" s="125"/>
      <c r="C11" s="121"/>
      <c r="D11" s="121"/>
      <c r="E11" s="121"/>
      <c r="F11" s="121"/>
      <c r="G11" s="121"/>
      <c r="H11" s="126"/>
      <c r="I11" s="577" t="s">
        <v>19</v>
      </c>
      <c r="J11" s="578"/>
      <c r="K11" s="578"/>
      <c r="L11" s="578" t="s">
        <v>15</v>
      </c>
      <c r="M11" s="578"/>
      <c r="N11" s="578"/>
      <c r="O11" s="578" t="s">
        <v>16</v>
      </c>
      <c r="P11" s="578"/>
      <c r="Q11" s="579"/>
      <c r="R11" s="580" t="s">
        <v>21</v>
      </c>
      <c r="S11" s="581"/>
      <c r="T11" s="582"/>
      <c r="V11" s="569" t="s">
        <v>12</v>
      </c>
      <c r="W11" s="569"/>
      <c r="X11" s="569"/>
      <c r="Y11" s="569"/>
    </row>
    <row r="12" spans="1:32" s="4" customFormat="1" ht="16.5" customHeight="1" x14ac:dyDescent="0.15">
      <c r="B12" s="570" t="s">
        <v>176</v>
      </c>
      <c r="C12" s="382"/>
      <c r="D12" s="382"/>
      <c r="E12" s="382"/>
      <c r="F12" s="382"/>
      <c r="G12" s="382"/>
      <c r="H12" s="571"/>
      <c r="I12" s="592">
        <f>試算表!X12</f>
        <v>0</v>
      </c>
      <c r="J12" s="382"/>
      <c r="K12" s="382"/>
      <c r="L12" s="381">
        <f>試算表!BP7+試算表!BT7+試算表!BX7</f>
        <v>0</v>
      </c>
      <c r="M12" s="382"/>
      <c r="N12" s="382"/>
      <c r="O12" s="381">
        <f>IF(L12&gt;0,(試算表!AC28+試算表!CB9)/L5,0)</f>
        <v>0</v>
      </c>
      <c r="P12" s="382"/>
      <c r="Q12" s="572"/>
      <c r="R12" s="573">
        <f t="shared" ref="R12:R17" si="0">SUM(I12:Q12)</f>
        <v>0</v>
      </c>
      <c r="S12" s="382"/>
      <c r="T12" s="571"/>
      <c r="V12" s="567">
        <f>ROUNDDOWN(R12,-2)</f>
        <v>0</v>
      </c>
      <c r="W12" s="568"/>
      <c r="X12" s="568"/>
      <c r="Y12" s="568"/>
    </row>
    <row r="13" spans="1:32" s="4" customFormat="1" ht="16.5" customHeight="1" x14ac:dyDescent="0.15">
      <c r="B13" s="570" t="s">
        <v>178</v>
      </c>
      <c r="C13" s="382"/>
      <c r="D13" s="382"/>
      <c r="E13" s="382"/>
      <c r="F13" s="382"/>
      <c r="G13" s="382"/>
      <c r="H13" s="571"/>
      <c r="I13" s="592">
        <f>試算表!X14</f>
        <v>0</v>
      </c>
      <c r="J13" s="382"/>
      <c r="K13" s="382"/>
      <c r="L13" s="381">
        <f>試算表!BP8+試算表!BT8+試算表!BX8</f>
        <v>0</v>
      </c>
      <c r="M13" s="382"/>
      <c r="N13" s="382"/>
      <c r="O13" s="381">
        <f>IF(L13&gt;0,(試算表!AC28+試算表!CB9)/L5,0)</f>
        <v>0</v>
      </c>
      <c r="P13" s="382"/>
      <c r="Q13" s="572"/>
      <c r="R13" s="573">
        <f t="shared" si="0"/>
        <v>0</v>
      </c>
      <c r="S13" s="382"/>
      <c r="T13" s="571"/>
      <c r="V13" s="567">
        <f>ROUNDDOWN(R13,-2)</f>
        <v>0</v>
      </c>
      <c r="W13" s="568"/>
      <c r="X13" s="568"/>
      <c r="Y13" s="568"/>
    </row>
    <row r="14" spans="1:32" s="4" customFormat="1" ht="16.5" customHeight="1" x14ac:dyDescent="0.15">
      <c r="B14" s="570" t="s">
        <v>179</v>
      </c>
      <c r="C14" s="382"/>
      <c r="D14" s="382"/>
      <c r="E14" s="382"/>
      <c r="F14" s="382"/>
      <c r="G14" s="382"/>
      <c r="H14" s="571"/>
      <c r="I14" s="592">
        <f>試算表!X16</f>
        <v>0</v>
      </c>
      <c r="J14" s="382"/>
      <c r="K14" s="382"/>
      <c r="L14" s="381">
        <f>試算表!BP9+試算表!BT9+試算表!BX9</f>
        <v>0</v>
      </c>
      <c r="M14" s="382"/>
      <c r="N14" s="382"/>
      <c r="O14" s="381">
        <f>IF(L14&gt;0,(試算表!AC28+試算表!CB9)/L5,0)</f>
        <v>0</v>
      </c>
      <c r="P14" s="382"/>
      <c r="Q14" s="572"/>
      <c r="R14" s="573">
        <f t="shared" si="0"/>
        <v>0</v>
      </c>
      <c r="S14" s="382"/>
      <c r="T14" s="571"/>
      <c r="V14" s="567">
        <f t="shared" ref="V14:V17" si="1">ROUNDDOWN(R14,-2)</f>
        <v>0</v>
      </c>
      <c r="W14" s="568"/>
      <c r="X14" s="568"/>
      <c r="Y14" s="568"/>
      <c r="AB14" s="597"/>
      <c r="AC14" s="598"/>
      <c r="AD14" s="598"/>
      <c r="AE14" s="598"/>
    </row>
    <row r="15" spans="1:32" s="4" customFormat="1" ht="16.5" customHeight="1" x14ac:dyDescent="0.15">
      <c r="B15" s="570" t="s">
        <v>180</v>
      </c>
      <c r="C15" s="382"/>
      <c r="D15" s="382"/>
      <c r="E15" s="382"/>
      <c r="F15" s="382"/>
      <c r="G15" s="382"/>
      <c r="H15" s="571"/>
      <c r="I15" s="592">
        <f>試算表!X18</f>
        <v>0</v>
      </c>
      <c r="J15" s="382"/>
      <c r="K15" s="382"/>
      <c r="L15" s="381">
        <f>試算表!BP10+試算表!BT10+試算表!BX10</f>
        <v>0</v>
      </c>
      <c r="M15" s="382"/>
      <c r="N15" s="382"/>
      <c r="O15" s="381">
        <f>IF(L15&gt;0,(試算表!AC28+試算表!CB9)/L5,0)</f>
        <v>0</v>
      </c>
      <c r="P15" s="382"/>
      <c r="Q15" s="572"/>
      <c r="R15" s="573">
        <f t="shared" si="0"/>
        <v>0</v>
      </c>
      <c r="S15" s="382"/>
      <c r="T15" s="571"/>
      <c r="V15" s="567">
        <f t="shared" si="1"/>
        <v>0</v>
      </c>
      <c r="W15" s="568"/>
      <c r="X15" s="568"/>
      <c r="Y15" s="568"/>
      <c r="AB15" s="597"/>
      <c r="AC15" s="598"/>
      <c r="AD15" s="598"/>
      <c r="AE15" s="598"/>
    </row>
    <row r="16" spans="1:32" s="4" customFormat="1" ht="16.5" customHeight="1" x14ac:dyDescent="0.15">
      <c r="B16" s="570" t="s">
        <v>181</v>
      </c>
      <c r="C16" s="382"/>
      <c r="D16" s="382"/>
      <c r="E16" s="382"/>
      <c r="F16" s="382"/>
      <c r="G16" s="382"/>
      <c r="H16" s="571"/>
      <c r="I16" s="592">
        <f>試算表!X20</f>
        <v>0</v>
      </c>
      <c r="J16" s="382"/>
      <c r="K16" s="382"/>
      <c r="L16" s="381">
        <f>試算表!BP11+試算表!BT11+試算表!BX11</f>
        <v>0</v>
      </c>
      <c r="M16" s="382"/>
      <c r="N16" s="382"/>
      <c r="O16" s="381">
        <f>IF(L16&gt;0,(試算表!AC28+試算表!CB9)/L5,0)</f>
        <v>0</v>
      </c>
      <c r="P16" s="382"/>
      <c r="Q16" s="572"/>
      <c r="R16" s="573">
        <f t="shared" si="0"/>
        <v>0</v>
      </c>
      <c r="S16" s="382"/>
      <c r="T16" s="571"/>
      <c r="V16" s="567">
        <f t="shared" si="1"/>
        <v>0</v>
      </c>
      <c r="W16" s="568"/>
      <c r="X16" s="568"/>
      <c r="Y16" s="568"/>
      <c r="AB16" s="597"/>
      <c r="AC16" s="597"/>
      <c r="AD16" s="597"/>
      <c r="AE16" s="597"/>
    </row>
    <row r="17" spans="2:31" s="4" customFormat="1" ht="16.5" customHeight="1" thickBot="1" x14ac:dyDescent="0.2">
      <c r="B17" s="588" t="s">
        <v>182</v>
      </c>
      <c r="C17" s="584"/>
      <c r="D17" s="584"/>
      <c r="E17" s="584"/>
      <c r="F17" s="584"/>
      <c r="G17" s="584"/>
      <c r="H17" s="587"/>
      <c r="I17" s="596">
        <f>試算表!X22</f>
        <v>0</v>
      </c>
      <c r="J17" s="584"/>
      <c r="K17" s="584"/>
      <c r="L17" s="381">
        <f>試算表!BP12+試算表!BT12+試算表!BX12</f>
        <v>0</v>
      </c>
      <c r="M17" s="382"/>
      <c r="N17" s="382"/>
      <c r="O17" s="583">
        <f>IF(L17&gt;0,(試算表!AC28+試算表!CB9)/L5,0)</f>
        <v>0</v>
      </c>
      <c r="P17" s="584"/>
      <c r="Q17" s="585"/>
      <c r="R17" s="586">
        <f t="shared" si="0"/>
        <v>0</v>
      </c>
      <c r="S17" s="584"/>
      <c r="T17" s="587"/>
      <c r="V17" s="567">
        <f t="shared" si="1"/>
        <v>0</v>
      </c>
      <c r="W17" s="568"/>
      <c r="X17" s="568"/>
      <c r="Y17" s="568"/>
      <c r="AB17" s="5"/>
      <c r="AC17" s="5"/>
      <c r="AD17" s="5"/>
      <c r="AE17" s="5"/>
    </row>
    <row r="18" spans="2:31" s="4" customFormat="1" ht="16.5" customHeight="1" thickBot="1" x14ac:dyDescent="0.2">
      <c r="B18" s="574" t="s">
        <v>21</v>
      </c>
      <c r="C18" s="575"/>
      <c r="D18" s="575"/>
      <c r="E18" s="575"/>
      <c r="F18" s="575"/>
      <c r="G18" s="575"/>
      <c r="H18" s="576"/>
      <c r="I18" s="589">
        <f>SUM(I12:K17)</f>
        <v>0</v>
      </c>
      <c r="J18" s="589"/>
      <c r="K18" s="590"/>
      <c r="L18" s="591">
        <f>SUM(L12:N17)</f>
        <v>0</v>
      </c>
      <c r="M18" s="589"/>
      <c r="N18" s="590"/>
      <c r="O18" s="591">
        <f>SUM(O12:Q17)</f>
        <v>0</v>
      </c>
      <c r="P18" s="589"/>
      <c r="Q18" s="589"/>
      <c r="R18" s="593">
        <f>SUM(R12:T17)</f>
        <v>0</v>
      </c>
      <c r="S18" s="589"/>
      <c r="T18" s="594"/>
      <c r="V18" s="564">
        <f>試算表!X35</f>
        <v>6200</v>
      </c>
      <c r="W18" s="565"/>
      <c r="X18" s="565"/>
      <c r="Y18" s="566"/>
    </row>
    <row r="19" spans="2:31" s="4" customFormat="1" ht="16.5" customHeight="1" thickBot="1" x14ac:dyDescent="0.2"/>
    <row r="20" spans="2:31" s="4" customFormat="1" ht="16.5" customHeight="1" thickBot="1" x14ac:dyDescent="0.2">
      <c r="B20" s="122"/>
      <c r="C20" s="123"/>
      <c r="D20" s="123"/>
      <c r="E20" s="123"/>
      <c r="F20" s="123"/>
      <c r="G20" s="123"/>
      <c r="H20" s="124"/>
      <c r="I20" s="574" t="s">
        <v>183</v>
      </c>
      <c r="J20" s="575"/>
      <c r="K20" s="575"/>
      <c r="L20" s="575"/>
      <c r="M20" s="575"/>
      <c r="N20" s="575"/>
      <c r="O20" s="575"/>
      <c r="P20" s="575"/>
      <c r="Q20" s="575"/>
      <c r="R20" s="575"/>
      <c r="S20" s="575"/>
      <c r="T20" s="576"/>
    </row>
    <row r="21" spans="2:31" s="4" customFormat="1" ht="16.5" customHeight="1" x14ac:dyDescent="0.15">
      <c r="B21" s="125"/>
      <c r="C21" s="121"/>
      <c r="D21" s="121"/>
      <c r="E21" s="121"/>
      <c r="F21" s="121"/>
      <c r="G21" s="121"/>
      <c r="H21" s="126"/>
      <c r="I21" s="577" t="s">
        <v>19</v>
      </c>
      <c r="J21" s="578"/>
      <c r="K21" s="578"/>
      <c r="L21" s="578" t="s">
        <v>15</v>
      </c>
      <c r="M21" s="578"/>
      <c r="N21" s="578"/>
      <c r="O21" s="578" t="s">
        <v>16</v>
      </c>
      <c r="P21" s="578"/>
      <c r="Q21" s="579"/>
      <c r="R21" s="580" t="s">
        <v>21</v>
      </c>
      <c r="S21" s="581"/>
      <c r="T21" s="582"/>
      <c r="V21" s="569" t="s">
        <v>13</v>
      </c>
      <c r="W21" s="569"/>
      <c r="X21" s="569"/>
      <c r="Y21" s="569"/>
    </row>
    <row r="22" spans="2:31" s="4" customFormat="1" ht="16.5" customHeight="1" x14ac:dyDescent="0.15">
      <c r="B22" s="570" t="s">
        <v>176</v>
      </c>
      <c r="C22" s="382"/>
      <c r="D22" s="382"/>
      <c r="E22" s="382"/>
      <c r="F22" s="382"/>
      <c r="G22" s="382"/>
      <c r="H22" s="571"/>
      <c r="I22" s="460">
        <f>試算表!BE12</f>
        <v>0</v>
      </c>
      <c r="J22" s="375"/>
      <c r="K22" s="375"/>
      <c r="L22" s="381">
        <f>試算表!BP23+試算表!BT23</f>
        <v>0</v>
      </c>
      <c r="M22" s="382"/>
      <c r="N22" s="382"/>
      <c r="O22" s="381">
        <f>IF(L22&gt;0,試算表!AU35/L6,0)</f>
        <v>0</v>
      </c>
      <c r="P22" s="382"/>
      <c r="Q22" s="572"/>
      <c r="R22" s="573">
        <f t="shared" ref="R22:R27" si="2">SUM(I22:Q22)</f>
        <v>0</v>
      </c>
      <c r="S22" s="382"/>
      <c r="T22" s="571"/>
      <c r="V22" s="567">
        <f t="shared" ref="V22:V27" si="3">ROUNDDOWN(R22,-2)</f>
        <v>0</v>
      </c>
      <c r="W22" s="568"/>
      <c r="X22" s="568"/>
      <c r="Y22" s="568"/>
    </row>
    <row r="23" spans="2:31" s="4" customFormat="1" ht="16.5" customHeight="1" x14ac:dyDescent="0.15">
      <c r="B23" s="570" t="s">
        <v>178</v>
      </c>
      <c r="C23" s="382"/>
      <c r="D23" s="382"/>
      <c r="E23" s="382"/>
      <c r="F23" s="382"/>
      <c r="G23" s="382"/>
      <c r="H23" s="571"/>
      <c r="I23" s="460">
        <f>試算表!BE14</f>
        <v>0</v>
      </c>
      <c r="J23" s="375"/>
      <c r="K23" s="375"/>
      <c r="L23" s="381">
        <f>試算表!BP24+試算表!BT24</f>
        <v>0</v>
      </c>
      <c r="M23" s="382"/>
      <c r="N23" s="382"/>
      <c r="O23" s="381">
        <f>IF(L23&gt;0,試算表!AU35/L6,0)</f>
        <v>0</v>
      </c>
      <c r="P23" s="382"/>
      <c r="Q23" s="572"/>
      <c r="R23" s="573">
        <f t="shared" si="2"/>
        <v>0</v>
      </c>
      <c r="S23" s="382"/>
      <c r="T23" s="571"/>
      <c r="V23" s="567">
        <f t="shared" si="3"/>
        <v>0</v>
      </c>
      <c r="W23" s="568"/>
      <c r="X23" s="568"/>
      <c r="Y23" s="568"/>
    </row>
    <row r="24" spans="2:31" s="4" customFormat="1" ht="16.5" customHeight="1" x14ac:dyDescent="0.15">
      <c r="B24" s="570" t="s">
        <v>179</v>
      </c>
      <c r="C24" s="382"/>
      <c r="D24" s="382"/>
      <c r="E24" s="382"/>
      <c r="F24" s="382"/>
      <c r="G24" s="382"/>
      <c r="H24" s="571"/>
      <c r="I24" s="460">
        <f>試算表!BE16</f>
        <v>0</v>
      </c>
      <c r="J24" s="375"/>
      <c r="K24" s="375"/>
      <c r="L24" s="381">
        <f>試算表!BP25+試算表!BT25</f>
        <v>0</v>
      </c>
      <c r="M24" s="382"/>
      <c r="N24" s="382"/>
      <c r="O24" s="381">
        <f>IF(L24&gt;0,試算表!AU35/L6,0)</f>
        <v>0</v>
      </c>
      <c r="P24" s="382"/>
      <c r="Q24" s="572"/>
      <c r="R24" s="573">
        <f t="shared" si="2"/>
        <v>0</v>
      </c>
      <c r="S24" s="382"/>
      <c r="T24" s="571"/>
      <c r="V24" s="567">
        <f t="shared" si="3"/>
        <v>0</v>
      </c>
      <c r="W24" s="568"/>
      <c r="X24" s="568"/>
      <c r="Y24" s="568"/>
    </row>
    <row r="25" spans="2:31" s="4" customFormat="1" ht="16.5" customHeight="1" x14ac:dyDescent="0.15">
      <c r="B25" s="570" t="s">
        <v>180</v>
      </c>
      <c r="C25" s="382"/>
      <c r="D25" s="382"/>
      <c r="E25" s="382"/>
      <c r="F25" s="382"/>
      <c r="G25" s="382"/>
      <c r="H25" s="571"/>
      <c r="I25" s="460">
        <f>試算表!BE18</f>
        <v>0</v>
      </c>
      <c r="J25" s="375"/>
      <c r="K25" s="375"/>
      <c r="L25" s="381">
        <f>試算表!BP26+試算表!BT26</f>
        <v>0</v>
      </c>
      <c r="M25" s="382"/>
      <c r="N25" s="382"/>
      <c r="O25" s="381">
        <f>IF(L25&gt;0,試算表!AU35/L6,0)</f>
        <v>0</v>
      </c>
      <c r="P25" s="382"/>
      <c r="Q25" s="572"/>
      <c r="R25" s="573">
        <f t="shared" si="2"/>
        <v>0</v>
      </c>
      <c r="S25" s="382"/>
      <c r="T25" s="571"/>
      <c r="V25" s="567">
        <f t="shared" si="3"/>
        <v>0</v>
      </c>
      <c r="W25" s="568"/>
      <c r="X25" s="568"/>
      <c r="Y25" s="568"/>
    </row>
    <row r="26" spans="2:31" s="4" customFormat="1" ht="16.5" customHeight="1" x14ac:dyDescent="0.15">
      <c r="B26" s="570" t="s">
        <v>181</v>
      </c>
      <c r="C26" s="382"/>
      <c r="D26" s="382"/>
      <c r="E26" s="382"/>
      <c r="F26" s="382"/>
      <c r="G26" s="382"/>
      <c r="H26" s="571"/>
      <c r="I26" s="460">
        <f>試算表!BE20</f>
        <v>0</v>
      </c>
      <c r="J26" s="375"/>
      <c r="K26" s="375"/>
      <c r="L26" s="381">
        <f>試算表!BP27+試算表!BT27</f>
        <v>0</v>
      </c>
      <c r="M26" s="382"/>
      <c r="N26" s="382"/>
      <c r="O26" s="381">
        <f>IF(L26&gt;0,試算表!AU35/L6,0)</f>
        <v>0</v>
      </c>
      <c r="P26" s="382"/>
      <c r="Q26" s="572"/>
      <c r="R26" s="573">
        <f t="shared" si="2"/>
        <v>0</v>
      </c>
      <c r="S26" s="382"/>
      <c r="T26" s="571"/>
      <c r="V26" s="567">
        <f t="shared" si="3"/>
        <v>0</v>
      </c>
      <c r="W26" s="568"/>
      <c r="X26" s="568"/>
      <c r="Y26" s="568"/>
    </row>
    <row r="27" spans="2:31" s="4" customFormat="1" ht="16.5" customHeight="1" thickBot="1" x14ac:dyDescent="0.2">
      <c r="B27" s="588" t="s">
        <v>182</v>
      </c>
      <c r="C27" s="584"/>
      <c r="D27" s="584"/>
      <c r="E27" s="584"/>
      <c r="F27" s="584"/>
      <c r="G27" s="584"/>
      <c r="H27" s="587"/>
      <c r="I27" s="460">
        <f>試算表!BE22</f>
        <v>0</v>
      </c>
      <c r="J27" s="375"/>
      <c r="K27" s="375"/>
      <c r="L27" s="381">
        <f>試算表!BP28+試算表!BT28</f>
        <v>0</v>
      </c>
      <c r="M27" s="382"/>
      <c r="N27" s="382"/>
      <c r="O27" s="583">
        <f>IF(L27&gt;0,試算表!AU35/L6,0)</f>
        <v>0</v>
      </c>
      <c r="P27" s="584"/>
      <c r="Q27" s="585"/>
      <c r="R27" s="586">
        <f t="shared" si="2"/>
        <v>0</v>
      </c>
      <c r="S27" s="584"/>
      <c r="T27" s="587"/>
      <c r="V27" s="567">
        <f t="shared" si="3"/>
        <v>0</v>
      </c>
      <c r="W27" s="568"/>
      <c r="X27" s="568"/>
      <c r="Y27" s="568"/>
    </row>
    <row r="28" spans="2:31" s="4" customFormat="1" ht="16.5" customHeight="1" thickBot="1" x14ac:dyDescent="0.2">
      <c r="B28" s="574" t="s">
        <v>21</v>
      </c>
      <c r="C28" s="575"/>
      <c r="D28" s="575"/>
      <c r="E28" s="575"/>
      <c r="F28" s="575"/>
      <c r="G28" s="575"/>
      <c r="H28" s="576"/>
      <c r="I28" s="589">
        <f>SUM(I22:K27)</f>
        <v>0</v>
      </c>
      <c r="J28" s="589"/>
      <c r="K28" s="590"/>
      <c r="L28" s="591">
        <f>SUM(L22:N27)</f>
        <v>0</v>
      </c>
      <c r="M28" s="589"/>
      <c r="N28" s="590"/>
      <c r="O28" s="591">
        <f>SUM(O22:Q27)</f>
        <v>0</v>
      </c>
      <c r="P28" s="589"/>
      <c r="Q28" s="589"/>
      <c r="R28" s="593">
        <f>SUM(R22:T27)</f>
        <v>0</v>
      </c>
      <c r="S28" s="589"/>
      <c r="T28" s="594"/>
      <c r="V28" s="564">
        <f>試算表!BE35</f>
        <v>0</v>
      </c>
      <c r="W28" s="565"/>
      <c r="X28" s="565"/>
      <c r="Y28" s="566"/>
    </row>
    <row r="29" spans="2:31" s="4" customFormat="1" ht="16.5" customHeight="1" thickBot="1" x14ac:dyDescent="0.2"/>
    <row r="30" spans="2:31" s="4" customFormat="1" ht="16.5" customHeight="1" thickBot="1" x14ac:dyDescent="0.2">
      <c r="B30" s="122"/>
      <c r="C30" s="123"/>
      <c r="D30" s="123"/>
      <c r="E30" s="123"/>
      <c r="F30" s="123"/>
      <c r="G30" s="123"/>
      <c r="H30" s="124"/>
      <c r="I30" s="574" t="s">
        <v>62</v>
      </c>
      <c r="J30" s="575"/>
      <c r="K30" s="575"/>
      <c r="L30" s="575"/>
      <c r="M30" s="575"/>
      <c r="N30" s="575"/>
      <c r="O30" s="575"/>
      <c r="P30" s="575"/>
      <c r="Q30" s="575"/>
      <c r="R30" s="575"/>
      <c r="S30" s="575"/>
      <c r="T30" s="576"/>
    </row>
    <row r="31" spans="2:31" s="4" customFormat="1" ht="16.5" customHeight="1" x14ac:dyDescent="0.15">
      <c r="B31" s="125"/>
      <c r="C31" s="121"/>
      <c r="D31" s="121"/>
      <c r="E31" s="121"/>
      <c r="F31" s="121"/>
      <c r="G31" s="121"/>
      <c r="H31" s="126"/>
      <c r="I31" s="577" t="s">
        <v>19</v>
      </c>
      <c r="J31" s="578"/>
      <c r="K31" s="578"/>
      <c r="L31" s="578" t="s">
        <v>15</v>
      </c>
      <c r="M31" s="578"/>
      <c r="N31" s="578"/>
      <c r="O31" s="578" t="s">
        <v>16</v>
      </c>
      <c r="P31" s="578"/>
      <c r="Q31" s="579"/>
      <c r="R31" s="580" t="s">
        <v>21</v>
      </c>
      <c r="S31" s="581"/>
      <c r="T31" s="582"/>
      <c r="V31" s="569" t="s">
        <v>184</v>
      </c>
      <c r="W31" s="569"/>
      <c r="X31" s="569"/>
      <c r="Y31" s="569"/>
    </row>
    <row r="32" spans="2:31" s="4" customFormat="1" ht="16.5" customHeight="1" x14ac:dyDescent="0.15">
      <c r="B32" s="570" t="s">
        <v>176</v>
      </c>
      <c r="C32" s="382"/>
      <c r="D32" s="382"/>
      <c r="E32" s="382"/>
      <c r="F32" s="382"/>
      <c r="G32" s="382"/>
      <c r="H32" s="571"/>
      <c r="I32" s="592">
        <f>試算表!X40</f>
        <v>0</v>
      </c>
      <c r="J32" s="382"/>
      <c r="K32" s="382"/>
      <c r="L32" s="381">
        <f>試算表!BP15+試算表!BT15+試算表!BX15</f>
        <v>0</v>
      </c>
      <c r="M32" s="382"/>
      <c r="N32" s="382"/>
      <c r="O32" s="381">
        <f>IF(L32&gt;0,(試算表!AC56+試算表!CB17)/L5,0)</f>
        <v>0</v>
      </c>
      <c r="P32" s="382"/>
      <c r="Q32" s="572"/>
      <c r="R32" s="573">
        <f t="shared" ref="R32:R37" si="4">SUM(I32:Q32)</f>
        <v>0</v>
      </c>
      <c r="S32" s="382"/>
      <c r="T32" s="571"/>
      <c r="V32" s="567">
        <f t="shared" ref="V32:V37" si="5">ROUNDDOWN(R32,-2)</f>
        <v>0</v>
      </c>
      <c r="W32" s="568"/>
      <c r="X32" s="568"/>
      <c r="Y32" s="568"/>
    </row>
    <row r="33" spans="2:25" s="4" customFormat="1" ht="16.5" customHeight="1" x14ac:dyDescent="0.15">
      <c r="B33" s="570" t="s">
        <v>178</v>
      </c>
      <c r="C33" s="382"/>
      <c r="D33" s="382"/>
      <c r="E33" s="382"/>
      <c r="F33" s="382"/>
      <c r="G33" s="382"/>
      <c r="H33" s="571"/>
      <c r="I33" s="592">
        <f>試算表!X42</f>
        <v>0</v>
      </c>
      <c r="J33" s="382"/>
      <c r="K33" s="382"/>
      <c r="L33" s="381">
        <f>試算表!BP16+試算表!BT16+試算表!BX16</f>
        <v>0</v>
      </c>
      <c r="M33" s="382"/>
      <c r="N33" s="382"/>
      <c r="O33" s="381">
        <f>IF(L33&gt;0,(試算表!AC56+試算表!CB17)/L5,0)</f>
        <v>0</v>
      </c>
      <c r="P33" s="382"/>
      <c r="Q33" s="572"/>
      <c r="R33" s="573">
        <f t="shared" si="4"/>
        <v>0</v>
      </c>
      <c r="S33" s="382"/>
      <c r="T33" s="571"/>
      <c r="V33" s="567">
        <f t="shared" si="5"/>
        <v>0</v>
      </c>
      <c r="W33" s="568"/>
      <c r="X33" s="568"/>
      <c r="Y33" s="568"/>
    </row>
    <row r="34" spans="2:25" s="4" customFormat="1" ht="16.5" customHeight="1" x14ac:dyDescent="0.15">
      <c r="B34" s="570" t="s">
        <v>179</v>
      </c>
      <c r="C34" s="382"/>
      <c r="D34" s="382"/>
      <c r="E34" s="382"/>
      <c r="F34" s="382"/>
      <c r="G34" s="382"/>
      <c r="H34" s="571"/>
      <c r="I34" s="592">
        <f>試算表!X44</f>
        <v>0</v>
      </c>
      <c r="J34" s="382"/>
      <c r="K34" s="382"/>
      <c r="L34" s="381">
        <f>試算表!BP17+試算表!BT17+試算表!BX17</f>
        <v>0</v>
      </c>
      <c r="M34" s="382"/>
      <c r="N34" s="382"/>
      <c r="O34" s="381">
        <f>IF(L34&gt;0,(試算表!AC56+試算表!CB17)/L5,0)</f>
        <v>0</v>
      </c>
      <c r="P34" s="382"/>
      <c r="Q34" s="572"/>
      <c r="R34" s="573">
        <f t="shared" si="4"/>
        <v>0</v>
      </c>
      <c r="S34" s="382"/>
      <c r="T34" s="571"/>
      <c r="V34" s="567">
        <f t="shared" si="5"/>
        <v>0</v>
      </c>
      <c r="W34" s="568"/>
      <c r="X34" s="568"/>
      <c r="Y34" s="568"/>
    </row>
    <row r="35" spans="2:25" s="4" customFormat="1" ht="16.5" customHeight="1" x14ac:dyDescent="0.15">
      <c r="B35" s="570" t="s">
        <v>180</v>
      </c>
      <c r="C35" s="382"/>
      <c r="D35" s="382"/>
      <c r="E35" s="382"/>
      <c r="F35" s="382"/>
      <c r="G35" s="382"/>
      <c r="H35" s="571"/>
      <c r="I35" s="592">
        <f>試算表!X46</f>
        <v>0</v>
      </c>
      <c r="J35" s="382"/>
      <c r="K35" s="382"/>
      <c r="L35" s="381">
        <f>試算表!BP18+試算表!BT18+試算表!BX18</f>
        <v>0</v>
      </c>
      <c r="M35" s="382"/>
      <c r="N35" s="382"/>
      <c r="O35" s="381">
        <f>IF(L35&gt;0,(試算表!AC56+試算表!CB17)/L5,0)</f>
        <v>0</v>
      </c>
      <c r="P35" s="382"/>
      <c r="Q35" s="572"/>
      <c r="R35" s="573">
        <f t="shared" si="4"/>
        <v>0</v>
      </c>
      <c r="S35" s="382"/>
      <c r="T35" s="571"/>
      <c r="V35" s="567">
        <f t="shared" si="5"/>
        <v>0</v>
      </c>
      <c r="W35" s="568"/>
      <c r="X35" s="568"/>
      <c r="Y35" s="568"/>
    </row>
    <row r="36" spans="2:25" s="4" customFormat="1" ht="12" x14ac:dyDescent="0.15">
      <c r="B36" s="570" t="s">
        <v>181</v>
      </c>
      <c r="C36" s="382"/>
      <c r="D36" s="382"/>
      <c r="E36" s="382"/>
      <c r="F36" s="382"/>
      <c r="G36" s="382"/>
      <c r="H36" s="571"/>
      <c r="I36" s="592">
        <f>試算表!X48</f>
        <v>0</v>
      </c>
      <c r="J36" s="382"/>
      <c r="K36" s="382"/>
      <c r="L36" s="381">
        <f>試算表!BP19+試算表!BT19+試算表!BX19</f>
        <v>0</v>
      </c>
      <c r="M36" s="382"/>
      <c r="N36" s="382"/>
      <c r="O36" s="381">
        <f>IF(L36&gt;0,(試算表!AC56+試算表!CB17)/L5,0)</f>
        <v>0</v>
      </c>
      <c r="P36" s="382"/>
      <c r="Q36" s="572"/>
      <c r="R36" s="573">
        <f t="shared" si="4"/>
        <v>0</v>
      </c>
      <c r="S36" s="382"/>
      <c r="T36" s="571"/>
      <c r="V36" s="567">
        <f t="shared" si="5"/>
        <v>0</v>
      </c>
      <c r="W36" s="568"/>
      <c r="X36" s="568"/>
      <c r="Y36" s="568"/>
    </row>
    <row r="37" spans="2:25" s="4" customFormat="1" ht="16.5" customHeight="1" thickBot="1" x14ac:dyDescent="0.2">
      <c r="B37" s="588" t="s">
        <v>182</v>
      </c>
      <c r="C37" s="584"/>
      <c r="D37" s="584"/>
      <c r="E37" s="584"/>
      <c r="F37" s="584"/>
      <c r="G37" s="584"/>
      <c r="H37" s="587"/>
      <c r="I37" s="592">
        <f>試算表!X50</f>
        <v>0</v>
      </c>
      <c r="J37" s="382"/>
      <c r="K37" s="382"/>
      <c r="L37" s="381">
        <f>試算表!BP20+試算表!BT20+試算表!BX20</f>
        <v>0</v>
      </c>
      <c r="M37" s="382"/>
      <c r="N37" s="382"/>
      <c r="O37" s="583">
        <f>IF(L37&gt;0,(試算表!AC56+試算表!CB17)/L5,0)</f>
        <v>0</v>
      </c>
      <c r="P37" s="584"/>
      <c r="Q37" s="585"/>
      <c r="R37" s="586">
        <f t="shared" si="4"/>
        <v>0</v>
      </c>
      <c r="S37" s="584"/>
      <c r="T37" s="587"/>
      <c r="V37" s="567">
        <f t="shared" si="5"/>
        <v>0</v>
      </c>
      <c r="W37" s="568"/>
      <c r="X37" s="568"/>
      <c r="Y37" s="568"/>
    </row>
    <row r="38" spans="2:25" s="4" customFormat="1" ht="16.5" customHeight="1" thickBot="1" x14ac:dyDescent="0.2">
      <c r="B38" s="574" t="s">
        <v>21</v>
      </c>
      <c r="C38" s="575"/>
      <c r="D38" s="575"/>
      <c r="E38" s="575"/>
      <c r="F38" s="575"/>
      <c r="G38" s="575"/>
      <c r="H38" s="576"/>
      <c r="I38" s="589">
        <f>SUM(I32:K37)</f>
        <v>0</v>
      </c>
      <c r="J38" s="589"/>
      <c r="K38" s="590"/>
      <c r="L38" s="591">
        <f>SUM(L32:N37)</f>
        <v>0</v>
      </c>
      <c r="M38" s="589"/>
      <c r="N38" s="590"/>
      <c r="O38" s="591">
        <f>SUM(O32:Q37)</f>
        <v>0</v>
      </c>
      <c r="P38" s="589"/>
      <c r="Q38" s="589"/>
      <c r="R38" s="593">
        <f>SUM(R32:T37)</f>
        <v>0</v>
      </c>
      <c r="S38" s="589"/>
      <c r="T38" s="594"/>
      <c r="V38" s="564">
        <f>試算表!X63</f>
        <v>2200</v>
      </c>
      <c r="W38" s="565"/>
      <c r="X38" s="565"/>
      <c r="Y38" s="566"/>
    </row>
    <row r="39" spans="2:25" s="4" customFormat="1" ht="12" x14ac:dyDescent="0.15"/>
    <row r="40" spans="2:25" s="4" customFormat="1" ht="12.6" thickBot="1" x14ac:dyDescent="0.2"/>
    <row r="41" spans="2:25" s="4" customFormat="1" ht="16.5" customHeight="1" x14ac:dyDescent="0.15">
      <c r="O41" s="130"/>
      <c r="P41" s="131"/>
      <c r="Q41" s="131"/>
      <c r="R41" s="131"/>
      <c r="S41" s="131"/>
      <c r="T41" s="131"/>
      <c r="U41" s="132"/>
      <c r="V41" s="606" t="s">
        <v>26</v>
      </c>
      <c r="W41" s="606"/>
      <c r="X41" s="606"/>
      <c r="Y41" s="607"/>
    </row>
    <row r="42" spans="2:25" s="4" customFormat="1" ht="16.5" customHeight="1" x14ac:dyDescent="0.15">
      <c r="O42" s="570" t="s">
        <v>176</v>
      </c>
      <c r="P42" s="382"/>
      <c r="Q42" s="382"/>
      <c r="R42" s="382"/>
      <c r="S42" s="382"/>
      <c r="T42" s="382"/>
      <c r="U42" s="571"/>
      <c r="V42" s="567">
        <f>V12+V22+V32</f>
        <v>0</v>
      </c>
      <c r="W42" s="568"/>
      <c r="X42" s="568"/>
      <c r="Y42" s="599"/>
    </row>
    <row r="43" spans="2:25" s="4" customFormat="1" ht="16.5" customHeight="1" x14ac:dyDescent="0.15">
      <c r="O43" s="570" t="s">
        <v>178</v>
      </c>
      <c r="P43" s="382"/>
      <c r="Q43" s="382"/>
      <c r="R43" s="382"/>
      <c r="S43" s="382"/>
      <c r="T43" s="382"/>
      <c r="U43" s="571"/>
      <c r="V43" s="567">
        <f t="shared" ref="V43:V48" si="6">V13+V23+V33</f>
        <v>0</v>
      </c>
      <c r="W43" s="568"/>
      <c r="X43" s="568"/>
      <c r="Y43" s="599"/>
    </row>
    <row r="44" spans="2:25" s="4" customFormat="1" ht="16.5" customHeight="1" x14ac:dyDescent="0.15">
      <c r="O44" s="570" t="s">
        <v>179</v>
      </c>
      <c r="P44" s="382"/>
      <c r="Q44" s="382"/>
      <c r="R44" s="382"/>
      <c r="S44" s="382"/>
      <c r="T44" s="382"/>
      <c r="U44" s="571"/>
      <c r="V44" s="567">
        <f t="shared" si="6"/>
        <v>0</v>
      </c>
      <c r="W44" s="568"/>
      <c r="X44" s="568"/>
      <c r="Y44" s="599"/>
    </row>
    <row r="45" spans="2:25" s="4" customFormat="1" ht="16.5" customHeight="1" x14ac:dyDescent="0.15">
      <c r="O45" s="570" t="s">
        <v>180</v>
      </c>
      <c r="P45" s="382"/>
      <c r="Q45" s="382"/>
      <c r="R45" s="382"/>
      <c r="S45" s="382"/>
      <c r="T45" s="382"/>
      <c r="U45" s="571"/>
      <c r="V45" s="567">
        <f t="shared" si="6"/>
        <v>0</v>
      </c>
      <c r="W45" s="568"/>
      <c r="X45" s="568"/>
      <c r="Y45" s="599"/>
    </row>
    <row r="46" spans="2:25" s="4" customFormat="1" ht="16.5" customHeight="1" x14ac:dyDescent="0.15">
      <c r="O46" s="570" t="s">
        <v>181</v>
      </c>
      <c r="P46" s="382"/>
      <c r="Q46" s="382"/>
      <c r="R46" s="382"/>
      <c r="S46" s="382"/>
      <c r="T46" s="382"/>
      <c r="U46" s="571"/>
      <c r="V46" s="567">
        <f t="shared" si="6"/>
        <v>0</v>
      </c>
      <c r="W46" s="568"/>
      <c r="X46" s="568"/>
      <c r="Y46" s="599"/>
    </row>
    <row r="47" spans="2:25" s="4" customFormat="1" ht="16.5" customHeight="1" thickBot="1" x14ac:dyDescent="0.2">
      <c r="O47" s="588" t="s">
        <v>182</v>
      </c>
      <c r="P47" s="584"/>
      <c r="Q47" s="584"/>
      <c r="R47" s="584"/>
      <c r="S47" s="584"/>
      <c r="T47" s="584"/>
      <c r="U47" s="587"/>
      <c r="V47" s="600">
        <f t="shared" si="6"/>
        <v>0</v>
      </c>
      <c r="W47" s="601"/>
      <c r="X47" s="601"/>
      <c r="Y47" s="602"/>
    </row>
    <row r="48" spans="2:25" s="4" customFormat="1" ht="16.5" customHeight="1" thickBot="1" x14ac:dyDescent="0.2">
      <c r="O48" s="574" t="s">
        <v>21</v>
      </c>
      <c r="P48" s="575"/>
      <c r="Q48" s="575"/>
      <c r="R48" s="575"/>
      <c r="S48" s="575"/>
      <c r="T48" s="575"/>
      <c r="U48" s="576"/>
      <c r="V48" s="603">
        <f t="shared" si="6"/>
        <v>8400</v>
      </c>
      <c r="W48" s="604"/>
      <c r="X48" s="604"/>
      <c r="Y48" s="605"/>
    </row>
    <row r="49" s="4" customFormat="1" ht="12" x14ac:dyDescent="0.15"/>
    <row r="50" s="4" customFormat="1" ht="12" x14ac:dyDescent="0.15"/>
    <row r="51" s="4" customFormat="1" ht="12" x14ac:dyDescent="0.15"/>
    <row r="52" s="4" customFormat="1" ht="12" x14ac:dyDescent="0.15"/>
    <row r="53" s="4" customFormat="1" ht="12" x14ac:dyDescent="0.15"/>
    <row r="54" s="4" customFormat="1" ht="12" x14ac:dyDescent="0.15"/>
  </sheetData>
  <protectedRanges>
    <protectedRange sqref="Z8:AF38" name="範囲1"/>
  </protectedRanges>
  <mergeCells count="170">
    <mergeCell ref="O46:U46"/>
    <mergeCell ref="V46:Y46"/>
    <mergeCell ref="O47:U47"/>
    <mergeCell ref="V47:Y47"/>
    <mergeCell ref="O48:U48"/>
    <mergeCell ref="V48:Y48"/>
    <mergeCell ref="V41:Y41"/>
    <mergeCell ref="O42:U42"/>
    <mergeCell ref="V42:Y42"/>
    <mergeCell ref="O43:U43"/>
    <mergeCell ref="V43:Y43"/>
    <mergeCell ref="O44:U44"/>
    <mergeCell ref="V44:Y44"/>
    <mergeCell ref="O45:U45"/>
    <mergeCell ref="V45:Y45"/>
    <mergeCell ref="AB14:AE14"/>
    <mergeCell ref="AB15:AE15"/>
    <mergeCell ref="B15:H15"/>
    <mergeCell ref="V13:Y13"/>
    <mergeCell ref="V14:Y14"/>
    <mergeCell ref="V15:Y15"/>
    <mergeCell ref="AB16:AE16"/>
    <mergeCell ref="B18:H18"/>
    <mergeCell ref="R18:T18"/>
    <mergeCell ref="O18:Q18"/>
    <mergeCell ref="L18:N18"/>
    <mergeCell ref="I18:K18"/>
    <mergeCell ref="B16:H16"/>
    <mergeCell ref="I16:K16"/>
    <mergeCell ref="L16:N16"/>
    <mergeCell ref="O16:Q16"/>
    <mergeCell ref="I10:T10"/>
    <mergeCell ref="R12:T12"/>
    <mergeCell ref="R11:T11"/>
    <mergeCell ref="B14:H14"/>
    <mergeCell ref="R13:T13"/>
    <mergeCell ref="L11:N11"/>
    <mergeCell ref="O11:Q11"/>
    <mergeCell ref="L12:N12"/>
    <mergeCell ref="O12:Q12"/>
    <mergeCell ref="B12:H12"/>
    <mergeCell ref="I11:K11"/>
    <mergeCell ref="I12:K12"/>
    <mergeCell ref="B13:H13"/>
    <mergeCell ref="I13:K13"/>
    <mergeCell ref="AA6:AE7"/>
    <mergeCell ref="AA4:AE5"/>
    <mergeCell ref="A1:AF1"/>
    <mergeCell ref="B5:E6"/>
    <mergeCell ref="L5:M5"/>
    <mergeCell ref="F5:K5"/>
    <mergeCell ref="L6:M6"/>
    <mergeCell ref="F6:K6"/>
    <mergeCell ref="I17:K17"/>
    <mergeCell ref="L17:N17"/>
    <mergeCell ref="O17:Q17"/>
    <mergeCell ref="R17:T17"/>
    <mergeCell ref="B17:H17"/>
    <mergeCell ref="R14:T14"/>
    <mergeCell ref="I15:K15"/>
    <mergeCell ref="L15:N15"/>
    <mergeCell ref="O15:Q15"/>
    <mergeCell ref="R15:T15"/>
    <mergeCell ref="R16:T16"/>
    <mergeCell ref="L13:N13"/>
    <mergeCell ref="O13:Q13"/>
    <mergeCell ref="I14:K14"/>
    <mergeCell ref="L14:N14"/>
    <mergeCell ref="O14:Q14"/>
    <mergeCell ref="O33:Q33"/>
    <mergeCell ref="R33:T33"/>
    <mergeCell ref="R32:T32"/>
    <mergeCell ref="I30:T30"/>
    <mergeCell ref="I31:K31"/>
    <mergeCell ref="L31:N31"/>
    <mergeCell ref="O31:Q31"/>
    <mergeCell ref="R31:T31"/>
    <mergeCell ref="I28:K28"/>
    <mergeCell ref="L28:N28"/>
    <mergeCell ref="O28:Q28"/>
    <mergeCell ref="R28:T28"/>
    <mergeCell ref="L38:N38"/>
    <mergeCell ref="O38:Q38"/>
    <mergeCell ref="I35:K35"/>
    <mergeCell ref="L35:N35"/>
    <mergeCell ref="O35:Q35"/>
    <mergeCell ref="I32:K32"/>
    <mergeCell ref="L32:N32"/>
    <mergeCell ref="O32:Q32"/>
    <mergeCell ref="R38:T38"/>
    <mergeCell ref="I37:K37"/>
    <mergeCell ref="L37:N37"/>
    <mergeCell ref="O37:Q37"/>
    <mergeCell ref="R37:T37"/>
    <mergeCell ref="I36:K36"/>
    <mergeCell ref="L36:N36"/>
    <mergeCell ref="O36:Q36"/>
    <mergeCell ref="R36:T36"/>
    <mergeCell ref="R35:T35"/>
    <mergeCell ref="I34:K34"/>
    <mergeCell ref="L34:N34"/>
    <mergeCell ref="O34:Q34"/>
    <mergeCell ref="R34:T34"/>
    <mergeCell ref="I33:K33"/>
    <mergeCell ref="L33:N33"/>
    <mergeCell ref="B37:H37"/>
    <mergeCell ref="B38:H38"/>
    <mergeCell ref="B32:H32"/>
    <mergeCell ref="B33:H33"/>
    <mergeCell ref="B34:H34"/>
    <mergeCell ref="B35:H35"/>
    <mergeCell ref="B36:H36"/>
    <mergeCell ref="B25:H25"/>
    <mergeCell ref="I38:K38"/>
    <mergeCell ref="I27:K27"/>
    <mergeCell ref="I26:K26"/>
    <mergeCell ref="I25:K25"/>
    <mergeCell ref="B27:H27"/>
    <mergeCell ref="B28:H28"/>
    <mergeCell ref="B23:H23"/>
    <mergeCell ref="B24:H24"/>
    <mergeCell ref="V27:Y27"/>
    <mergeCell ref="L27:N27"/>
    <mergeCell ref="O27:Q27"/>
    <mergeCell ref="R27:T27"/>
    <mergeCell ref="L26:N26"/>
    <mergeCell ref="O26:Q26"/>
    <mergeCell ref="R26:T26"/>
    <mergeCell ref="L25:N25"/>
    <mergeCell ref="O25:Q25"/>
    <mergeCell ref="R25:T25"/>
    <mergeCell ref="I24:K24"/>
    <mergeCell ref="L24:N24"/>
    <mergeCell ref="O24:Q24"/>
    <mergeCell ref="R24:T24"/>
    <mergeCell ref="I23:K23"/>
    <mergeCell ref="L23:N23"/>
    <mergeCell ref="V11:Y11"/>
    <mergeCell ref="V21:Y21"/>
    <mergeCell ref="V22:Y22"/>
    <mergeCell ref="V23:Y23"/>
    <mergeCell ref="V18:Y18"/>
    <mergeCell ref="V12:Y12"/>
    <mergeCell ref="V16:Y16"/>
    <mergeCell ref="V17:Y17"/>
    <mergeCell ref="B26:H26"/>
    <mergeCell ref="O23:Q23"/>
    <mergeCell ref="R23:T23"/>
    <mergeCell ref="I22:K22"/>
    <mergeCell ref="L22:N22"/>
    <mergeCell ref="O22:Q22"/>
    <mergeCell ref="R22:T22"/>
    <mergeCell ref="I20:T20"/>
    <mergeCell ref="I21:K21"/>
    <mergeCell ref="L21:N21"/>
    <mergeCell ref="O21:Q21"/>
    <mergeCell ref="R21:T21"/>
    <mergeCell ref="B22:H22"/>
    <mergeCell ref="V24:Y24"/>
    <mergeCell ref="V25:Y25"/>
    <mergeCell ref="V26:Y26"/>
    <mergeCell ref="V38:Y38"/>
    <mergeCell ref="V34:Y34"/>
    <mergeCell ref="V35:Y35"/>
    <mergeCell ref="V36:Y36"/>
    <mergeCell ref="V37:Y37"/>
    <mergeCell ref="V28:Y28"/>
    <mergeCell ref="V31:Y31"/>
    <mergeCell ref="V32:Y32"/>
    <mergeCell ref="V33:Y33"/>
  </mergeCells>
  <phoneticPr fontId="2"/>
  <pageMargins left="0.7" right="0.6" top="0.2" bottom="0.21" header="0.2" footer="0.2"/>
  <pageSetup paperSize="9" orientation="portrait" verticalDpi="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試算シート</vt:lpstr>
      <vt:lpstr>料率</vt:lpstr>
      <vt:lpstr>試算表</vt:lpstr>
      <vt:lpstr>試算個人別</vt:lpstr>
      <vt:lpstr>試算個人別!Print_Area</vt:lpstr>
      <vt:lpstr>試算表!Print_Area</vt:lpstr>
      <vt:lpstr>料率!Print_Area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dc:creator>
  <cp:lastModifiedBy>Windows ユーザー</cp:lastModifiedBy>
  <cp:lastPrinted>2024-10-21T06:24:13Z</cp:lastPrinted>
  <dcterms:created xsi:type="dcterms:W3CDTF">2001-09-05T23:39:22Z</dcterms:created>
  <dcterms:modified xsi:type="dcterms:W3CDTF">2025-03-13T23:47:20Z</dcterms:modified>
</cp:coreProperties>
</file>