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mc:AlternateContent xmlns:mc="http://schemas.openxmlformats.org/markup-compatibility/2006">
    <mc:Choice Requires="x15">
      <x15ac:absPath xmlns:x15ac="http://schemas.microsoft.com/office/spreadsheetml/2010/11/ac" url="\\FILSV005\kenkou\国民健康保険課\管理係\02賦  課\02 料率\保険料窓口試算\R7年保険料試算\"/>
    </mc:Choice>
  </mc:AlternateContent>
  <xr:revisionPtr revIDLastSave="0" documentId="13_ncr:1_{514E7969-E5F8-42D5-9466-2CFBC38E0B2A}" xr6:coauthVersionLast="36" xr6:coauthVersionMax="36" xr10:uidLastSave="{00000000-0000-0000-0000-000000000000}"/>
  <workbookProtection workbookPassword="D117" lockStructure="1"/>
  <bookViews>
    <workbookView xWindow="120" yWindow="36" windowWidth="7488" windowHeight="4968" tabRatio="752" xr2:uid="{00000000-000D-0000-FFFF-FFFF00000000}"/>
  </bookViews>
  <sheets>
    <sheet name="試算シート" sheetId="50" r:id="rId1"/>
    <sheet name="料率" sheetId="43" state="hidden" r:id="rId2"/>
  </sheets>
  <definedNames>
    <definedName name="_xlnm.Print_Area" localSheetId="1">料率!$CB$2:$DB$74</definedName>
  </definedNames>
  <calcPr calcId="191029"/>
</workbook>
</file>

<file path=xl/calcChain.xml><?xml version="1.0" encoding="utf-8"?>
<calcChain xmlns="http://schemas.openxmlformats.org/spreadsheetml/2006/main">
  <c r="EY44" i="43" l="1"/>
  <c r="EY43" i="43"/>
  <c r="FC39" i="43"/>
  <c r="EY33" i="43"/>
  <c r="EY32" i="43"/>
  <c r="B1" i="43" l="1"/>
  <c r="B13" i="43"/>
  <c r="F13" i="43"/>
  <c r="I13" i="43"/>
  <c r="V13" i="43"/>
  <c r="Z13" i="43"/>
  <c r="AC13" i="43"/>
  <c r="AF13" i="43"/>
  <c r="AJ13" i="43"/>
  <c r="AM13" i="43"/>
  <c r="BA12" i="43"/>
  <c r="BF12" i="43"/>
  <c r="BF16" i="43" s="1"/>
  <c r="BP17" i="43"/>
  <c r="BK17" i="43"/>
  <c r="BF17" i="43"/>
  <c r="BA17" i="43"/>
  <c r="AU17" i="43"/>
  <c r="BP14" i="43"/>
  <c r="BK14" i="43"/>
  <c r="BF14" i="43"/>
  <c r="BA14" i="43"/>
  <c r="AU14" i="43"/>
  <c r="BP11" i="43"/>
  <c r="BK11" i="43"/>
  <c r="BF11" i="43"/>
  <c r="BA11" i="43"/>
  <c r="BP12" i="43"/>
  <c r="BP16" i="43" s="1"/>
  <c r="BK12" i="43"/>
  <c r="AU12" i="43"/>
  <c r="AU11" i="43"/>
  <c r="Z21" i="50"/>
  <c r="V21" i="50"/>
  <c r="R21" i="50"/>
  <c r="N21" i="50"/>
  <c r="I21" i="50"/>
  <c r="BA16" i="43" l="1"/>
  <c r="AU15" i="43"/>
  <c r="EY28" i="43"/>
  <c r="EY39" i="43"/>
  <c r="BK16" i="43"/>
  <c r="BP15" i="43"/>
  <c r="BA15" i="43"/>
  <c r="AU16" i="43"/>
  <c r="BK15" i="43"/>
  <c r="BF15" i="43"/>
  <c r="AQ2" i="43"/>
  <c r="BV3" i="43"/>
  <c r="CY2" i="43" l="1"/>
  <c r="EY55" i="43" l="1"/>
  <c r="EY50" i="43"/>
  <c r="CT7" i="43" l="1"/>
  <c r="DR10" i="43"/>
  <c r="BH4" i="43" l="1"/>
  <c r="CB70" i="43" l="1"/>
  <c r="CB2" i="43"/>
  <c r="FC28" i="43"/>
  <c r="AR21" i="43" l="1"/>
  <c r="CB7" i="43" l="1"/>
  <c r="CH56" i="43" l="1"/>
  <c r="CH54" i="43"/>
  <c r="EU55" i="43"/>
  <c r="DG50" i="43" l="1"/>
  <c r="EU44" i="43"/>
  <c r="CI21" i="43" l="1"/>
  <c r="DH23" i="43" l="1"/>
  <c r="DH24" i="43"/>
  <c r="DH22" i="43"/>
  <c r="DG28" i="43" l="1"/>
  <c r="DG61" i="43"/>
  <c r="DG39" i="43"/>
  <c r="FC66" i="43"/>
  <c r="FC65" i="43"/>
  <c r="FC64" i="43"/>
  <c r="FC63" i="43"/>
  <c r="FC55" i="43"/>
  <c r="FC54" i="43"/>
  <c r="FC53" i="43"/>
  <c r="FC52" i="43"/>
  <c r="FC51" i="43"/>
  <c r="FC44" i="43"/>
  <c r="FC43" i="43"/>
  <c r="FC42" i="43"/>
  <c r="FC41" i="43"/>
  <c r="FC30" i="43"/>
  <c r="FC31" i="43"/>
  <c r="FC32" i="43"/>
  <c r="FC33" i="43"/>
  <c r="DK12" i="43" l="1"/>
  <c r="EB3" i="43" l="1"/>
  <c r="EG5" i="43"/>
  <c r="EG4" i="43"/>
  <c r="EU66" i="43" l="1"/>
  <c r="EQ66" i="43"/>
  <c r="EU65" i="43"/>
  <c r="EQ65" i="43"/>
  <c r="EU33" i="43"/>
  <c r="CQ23" i="43"/>
  <c r="CT9" i="43"/>
  <c r="CG9" i="43"/>
  <c r="CB6" i="43" s="1"/>
  <c r="DM10" i="43"/>
  <c r="CP7" i="43"/>
  <c r="FC62" i="43" l="1"/>
  <c r="BA13" i="43"/>
  <c r="BF13" i="43"/>
  <c r="BK13" i="43"/>
  <c r="BP13" i="43"/>
  <c r="BU13" i="43"/>
  <c r="AU18" i="43"/>
  <c r="EQ3" i="43" s="1"/>
  <c r="BA18" i="43"/>
  <c r="EQ4" i="43" s="1"/>
  <c r="BF18" i="43"/>
  <c r="EQ5" i="43" s="1"/>
  <c r="BK18" i="43"/>
  <c r="EQ6" i="43" s="1"/>
  <c r="BP18" i="43"/>
  <c r="EQ7" i="43" s="1"/>
  <c r="CQ22" i="43" s="1"/>
  <c r="BU18" i="43"/>
  <c r="AU19" i="43"/>
  <c r="FA3" i="43" s="1"/>
  <c r="BA19" i="43"/>
  <c r="FA4" i="43" s="1"/>
  <c r="BF19" i="43"/>
  <c r="FA5" i="43" s="1"/>
  <c r="BK19" i="43"/>
  <c r="FA6" i="43" s="1"/>
  <c r="BP19" i="43"/>
  <c r="FA7" i="43" s="1"/>
  <c r="BU19" i="43"/>
  <c r="FA8" i="43" s="1"/>
  <c r="BA21" i="43"/>
  <c r="BF21" i="43"/>
  <c r="BK21" i="43"/>
  <c r="BP21" i="43"/>
  <c r="BU21" i="43"/>
  <c r="ED3" i="43"/>
  <c r="EE3" i="43"/>
  <c r="EG3" i="43"/>
  <c r="BC26" i="43"/>
  <c r="CY9" i="43" s="1"/>
  <c r="EB4" i="43"/>
  <c r="ED4" i="43"/>
  <c r="EE4" i="43"/>
  <c r="EB5" i="43"/>
  <c r="ED5" i="43"/>
  <c r="EE5" i="43"/>
  <c r="EB6" i="43"/>
  <c r="ED6" i="43"/>
  <c r="EE6" i="43"/>
  <c r="EG6" i="43"/>
  <c r="EB7" i="43"/>
  <c r="ED7" i="43"/>
  <c r="EE7" i="43"/>
  <c r="EG7" i="43"/>
  <c r="EB8" i="43"/>
  <c r="EQ55" i="43" s="1"/>
  <c r="ED8" i="43"/>
  <c r="EE8" i="43"/>
  <c r="EG8" i="43"/>
  <c r="EL3" i="43"/>
  <c r="EV3" i="43"/>
  <c r="EL4" i="43"/>
  <c r="EV4" i="43"/>
  <c r="EL5" i="43"/>
  <c r="EV5" i="43"/>
  <c r="EL6" i="43"/>
  <c r="EV6" i="43"/>
  <c r="EL7" i="43"/>
  <c r="EV7" i="43"/>
  <c r="EL8" i="43"/>
  <c r="EQ8" i="43"/>
  <c r="EV8" i="43"/>
  <c r="CB3" i="43" l="1"/>
  <c r="BB3" i="43"/>
  <c r="EF4" i="43"/>
  <c r="EQ44" i="43"/>
  <c r="FA9" i="43"/>
  <c r="DP22" i="43" s="1"/>
  <c r="EL9" i="43"/>
  <c r="EV13" i="43"/>
  <c r="DK28" i="43"/>
  <c r="EQ9" i="43"/>
  <c r="EF3" i="43"/>
  <c r="DK55" i="43"/>
  <c r="DK44" i="43"/>
  <c r="DK33" i="43"/>
  <c r="EC5" i="43"/>
  <c r="EM30" i="43"/>
  <c r="EM41" i="43"/>
  <c r="EM52" i="43"/>
  <c r="DK53" i="43"/>
  <c r="CQ21" i="43"/>
  <c r="DK42" i="43"/>
  <c r="DK31" i="43"/>
  <c r="EM42" i="43"/>
  <c r="EM31" i="43"/>
  <c r="EM53" i="43"/>
  <c r="DK30" i="43"/>
  <c r="DK41" i="43"/>
  <c r="CJ23" i="43"/>
  <c r="DK52" i="43"/>
  <c r="DK54" i="43"/>
  <c r="DK43" i="43"/>
  <c r="DK32" i="43"/>
  <c r="EC7" i="43"/>
  <c r="EM32" i="43"/>
  <c r="EM54" i="43"/>
  <c r="EM43" i="43"/>
  <c r="EC4" i="43"/>
  <c r="EM40" i="43"/>
  <c r="EM29" i="43"/>
  <c r="EM51" i="43"/>
  <c r="DK40" i="43"/>
  <c r="DK51" i="43"/>
  <c r="DK29" i="43"/>
  <c r="CJ22" i="43"/>
  <c r="EC8" i="43"/>
  <c r="EM55" i="43"/>
  <c r="EM44" i="43"/>
  <c r="EQ33" i="43"/>
  <c r="EM33" i="43"/>
  <c r="EC6" i="43"/>
  <c r="BC24" i="43"/>
  <c r="CL9" i="43" s="1"/>
  <c r="DK50" i="43"/>
  <c r="DK39" i="43"/>
  <c r="CJ21" i="43"/>
  <c r="EM39" i="43"/>
  <c r="EM28" i="43"/>
  <c r="EM50" i="43"/>
  <c r="EF8" i="43"/>
  <c r="EF6" i="43"/>
  <c r="EQ64" i="43" s="1"/>
  <c r="EF7" i="43"/>
  <c r="EQ54" i="43" s="1"/>
  <c r="EV9" i="43"/>
  <c r="EV11" i="43" s="1"/>
  <c r="EF5" i="43"/>
  <c r="EC3" i="43"/>
  <c r="EA51" i="43"/>
  <c r="EA52" i="43"/>
  <c r="EA53" i="43"/>
  <c r="EA54" i="43"/>
  <c r="EA55" i="43"/>
  <c r="EA50" i="43"/>
  <c r="CO51" i="43" s="1"/>
  <c r="DQ55" i="43"/>
  <c r="DQ54" i="43"/>
  <c r="DQ53" i="43"/>
  <c r="DQ52" i="43"/>
  <c r="DQ51" i="43"/>
  <c r="DQ50" i="43"/>
  <c r="DQ61" i="43"/>
  <c r="EA61" i="43"/>
  <c r="CO62" i="43" s="1"/>
  <c r="FG61" i="43"/>
  <c r="DQ62" i="43"/>
  <c r="EA62" i="43"/>
  <c r="DQ63" i="43"/>
  <c r="EA63" i="43"/>
  <c r="DQ64" i="43"/>
  <c r="EA64" i="43"/>
  <c r="CH65" i="43"/>
  <c r="DQ65" i="43"/>
  <c r="EA65" i="43"/>
  <c r="DQ66" i="43"/>
  <c r="EA66" i="43"/>
  <c r="CH45" i="43"/>
  <c r="EA44" i="43"/>
  <c r="DQ44" i="43"/>
  <c r="EA43" i="43"/>
  <c r="DQ43" i="43"/>
  <c r="CH43" i="43"/>
  <c r="EA42" i="43"/>
  <c r="DQ42" i="43"/>
  <c r="EA41" i="43"/>
  <c r="DQ41" i="43"/>
  <c r="EA40" i="43"/>
  <c r="DQ40" i="43"/>
  <c r="EA39" i="43"/>
  <c r="CO40" i="43" s="1"/>
  <c r="DQ39" i="43"/>
  <c r="CH34" i="43"/>
  <c r="DQ33" i="43"/>
  <c r="DQ32" i="43"/>
  <c r="CH32" i="43"/>
  <c r="DQ31" i="43"/>
  <c r="DQ30" i="43"/>
  <c r="DQ29" i="43"/>
  <c r="DQ28" i="43"/>
  <c r="CQ74" i="43" l="1"/>
  <c r="CE21" i="43"/>
  <c r="DV29" i="43"/>
  <c r="DF29" i="43" s="1"/>
  <c r="DV28" i="43"/>
  <c r="DF28" i="43" s="1"/>
  <c r="EQ62" i="43"/>
  <c r="EG29" i="43"/>
  <c r="AR28" i="43"/>
  <c r="EQ50" i="43"/>
  <c r="EQ61" i="43"/>
  <c r="EG44" i="43"/>
  <c r="EG51" i="43"/>
  <c r="EQ52" i="43"/>
  <c r="EQ30" i="43"/>
  <c r="CD52" i="43"/>
  <c r="EQ32" i="43"/>
  <c r="EQ43" i="43"/>
  <c r="EQ42" i="43"/>
  <c r="EQ53" i="43"/>
  <c r="DV39" i="43"/>
  <c r="DF39" i="43" s="1"/>
  <c r="EG54" i="43"/>
  <c r="EG50" i="43"/>
  <c r="EG52" i="43"/>
  <c r="EG55" i="43"/>
  <c r="EQ39" i="43"/>
  <c r="EQ28" i="43"/>
  <c r="EQ41" i="43"/>
  <c r="EG53" i="43"/>
  <c r="EV15" i="43"/>
  <c r="AR30" i="43"/>
  <c r="AR32" i="43"/>
  <c r="DP24" i="43"/>
  <c r="DP23" i="43"/>
  <c r="DP59" i="43"/>
  <c r="DP48" i="43"/>
  <c r="DP26" i="43"/>
  <c r="DP37" i="43"/>
  <c r="CY21" i="43"/>
  <c r="EM65" i="43"/>
  <c r="DK65" i="43"/>
  <c r="DV65" i="43" s="1"/>
  <c r="DF65" i="43" s="1"/>
  <c r="EM66" i="43"/>
  <c r="DK66" i="43"/>
  <c r="EG66" i="43" s="1"/>
  <c r="EM62" i="43"/>
  <c r="DK62" i="43"/>
  <c r="DV62" i="43" s="1"/>
  <c r="DF62" i="43" s="1"/>
  <c r="EM63" i="43"/>
  <c r="DK63" i="43"/>
  <c r="EG63" i="43" s="1"/>
  <c r="EM64" i="43"/>
  <c r="DK64" i="43"/>
  <c r="EG64" i="43" s="1"/>
  <c r="EG40" i="43"/>
  <c r="CD41" i="43"/>
  <c r="EG39" i="43"/>
  <c r="CD30" i="43"/>
  <c r="EG32" i="43"/>
  <c r="EG43" i="43"/>
  <c r="BB5" i="43"/>
  <c r="EM61" i="43"/>
  <c r="DK61" i="43"/>
  <c r="EQ63" i="43"/>
  <c r="EG41" i="43"/>
  <c r="EQ31" i="43"/>
  <c r="EG31" i="43"/>
  <c r="EG42" i="43"/>
  <c r="EG33" i="43"/>
  <c r="DV54" i="43"/>
  <c r="DF54" i="43" s="1"/>
  <c r="DV51" i="43"/>
  <c r="DF51" i="43" s="1"/>
  <c r="DV52" i="43"/>
  <c r="DF52" i="43" s="1"/>
  <c r="EM56" i="43"/>
  <c r="FP51" i="43" s="1"/>
  <c r="DV43" i="43"/>
  <c r="DF43" i="43" s="1"/>
  <c r="DV55" i="43"/>
  <c r="DF55" i="43" s="1"/>
  <c r="DV53" i="43"/>
  <c r="DF53" i="43" s="1"/>
  <c r="DV50" i="43"/>
  <c r="DF50" i="43" s="1"/>
  <c r="EM45" i="43"/>
  <c r="FP40" i="43" s="1"/>
  <c r="DV31" i="43"/>
  <c r="DF31" i="43" s="1"/>
  <c r="DV32" i="43"/>
  <c r="DF32" i="43" s="1"/>
  <c r="EM34" i="43"/>
  <c r="FP29" i="43" s="1"/>
  <c r="DV40" i="43"/>
  <c r="DF40" i="43" s="1"/>
  <c r="DV41" i="43"/>
  <c r="DF41" i="43" s="1"/>
  <c r="DV42" i="43"/>
  <c r="DF42" i="43" s="1"/>
  <c r="DV30" i="43"/>
  <c r="DF30" i="43" s="1"/>
  <c r="DV44" i="43"/>
  <c r="DF44" i="43" s="1"/>
  <c r="DV33" i="43"/>
  <c r="DF33" i="43" s="1"/>
  <c r="CE32" i="43" l="1"/>
  <c r="CE54" i="43" s="1"/>
  <c r="I35" i="50"/>
  <c r="BO3" i="43"/>
  <c r="BO6" i="43"/>
  <c r="CE51" i="43"/>
  <c r="CJ51" i="43"/>
  <c r="CJ40" i="43"/>
  <c r="CE40" i="43"/>
  <c r="DV61" i="43"/>
  <c r="DF61" i="43" s="1"/>
  <c r="DY56" i="43"/>
  <c r="DY45" i="43"/>
  <c r="BS29" i="43"/>
  <c r="EQ67" i="43"/>
  <c r="EG56" i="43"/>
  <c r="FK51" i="43" s="1"/>
  <c r="EG65" i="43"/>
  <c r="EG62" i="43"/>
  <c r="CE43" i="43"/>
  <c r="EM67" i="43"/>
  <c r="FP62" i="43" s="1"/>
  <c r="DV63" i="43"/>
  <c r="DF63" i="43" s="1"/>
  <c r="DV66" i="43"/>
  <c r="DF66" i="43" s="1"/>
  <c r="DV64" i="43"/>
  <c r="DF64" i="43" s="1"/>
  <c r="CE22" i="43"/>
  <c r="CE65" i="43" s="1"/>
  <c r="CH67" i="43" s="1"/>
  <c r="EG61" i="43"/>
  <c r="EG45" i="43"/>
  <c r="FK44" i="43" s="1"/>
  <c r="CJ62" i="43" l="1"/>
  <c r="CE62" i="43"/>
  <c r="DY67" i="43"/>
  <c r="CY22" i="43"/>
  <c r="L35" i="50" s="1"/>
  <c r="BS33" i="43"/>
  <c r="FC61" i="43"/>
  <c r="FC67" i="43" s="1"/>
  <c r="DO15" i="43" s="1"/>
  <c r="FK55" i="43"/>
  <c r="FK56" i="43"/>
  <c r="EG67" i="43"/>
  <c r="FK62" i="43" s="1"/>
  <c r="FG65" i="43"/>
  <c r="FU62" i="43" s="1"/>
  <c r="FK45" i="43"/>
  <c r="FK40" i="43"/>
  <c r="CI59" i="43" l="1"/>
  <c r="EU61" i="43"/>
  <c r="CN59" i="43"/>
  <c r="CY23" i="43"/>
  <c r="FG52" i="43" s="1"/>
  <c r="EU64" i="43"/>
  <c r="EQ51" i="43"/>
  <c r="EU50" i="43"/>
  <c r="EU62" i="43"/>
  <c r="EU41" i="43"/>
  <c r="EY41" i="43" s="1"/>
  <c r="EU54" i="43"/>
  <c r="EU42" i="43"/>
  <c r="EY42" i="43" s="1"/>
  <c r="EU39" i="43"/>
  <c r="EU52" i="43"/>
  <c r="EU29" i="43"/>
  <c r="EQ29" i="43" s="1"/>
  <c r="EY29" i="43" s="1"/>
  <c r="EU32" i="43"/>
  <c r="EU53" i="43"/>
  <c r="EU28" i="43"/>
  <c r="EU43" i="43"/>
  <c r="EU40" i="43"/>
  <c r="EU51" i="43"/>
  <c r="EY51" i="43" s="1"/>
  <c r="EQ40" i="43"/>
  <c r="FK66" i="43"/>
  <c r="FZ62" i="43"/>
  <c r="GE62" i="43" s="1"/>
  <c r="FK67" i="43"/>
  <c r="EY40" i="43" l="1"/>
  <c r="EY54" i="43"/>
  <c r="EY52" i="43"/>
  <c r="EY53" i="43"/>
  <c r="EQ56" i="43"/>
  <c r="EQ34" i="43"/>
  <c r="FC50" i="43"/>
  <c r="FC56" i="43" s="1"/>
  <c r="DO17" i="43" s="1"/>
  <c r="EU56" i="43"/>
  <c r="FG54" i="43"/>
  <c r="FU51" i="43" s="1"/>
  <c r="FZ51" i="43" s="1"/>
  <c r="GE51" i="43" s="1"/>
  <c r="FG41" i="43"/>
  <c r="FG43" i="43"/>
  <c r="FG39" i="43" s="1"/>
  <c r="EY56" i="43" l="1"/>
  <c r="FP55" i="43" s="1"/>
  <c r="FG50" i="43"/>
  <c r="CR54" i="43" l="1"/>
  <c r="CI48" i="43"/>
  <c r="CM54" i="43" s="1"/>
  <c r="FP56" i="43"/>
  <c r="CN48" i="43"/>
  <c r="CM56" i="43" s="1"/>
  <c r="FU56" i="43"/>
  <c r="CR56" i="43"/>
  <c r="FU55" i="43"/>
  <c r="FZ55" i="43" s="1"/>
  <c r="GE55" i="43" s="1"/>
  <c r="FZ56" i="43" l="1"/>
  <c r="GE56" i="43" s="1"/>
  <c r="GI56" i="43" s="1"/>
  <c r="CD48" i="43" l="1"/>
  <c r="CS48" i="43" s="1"/>
  <c r="CU51" i="43"/>
  <c r="CT51" i="43"/>
  <c r="CX48" i="43" l="1"/>
  <c r="DI17" i="43"/>
  <c r="DL17" i="43"/>
  <c r="DR17" i="43" s="1"/>
  <c r="DU17" i="43" l="1"/>
  <c r="EA30" i="43" l="1"/>
  <c r="EG30" i="43" s="1"/>
  <c r="EA33" i="43"/>
  <c r="EA29" i="43"/>
  <c r="EA32" i="43"/>
  <c r="EA31" i="43"/>
  <c r="EA28" i="43"/>
  <c r="CO29" i="43" l="1"/>
  <c r="EG28" i="43"/>
  <c r="CE29" i="43" s="1"/>
  <c r="DY34" i="43" l="1"/>
  <c r="FK34" i="43" s="1"/>
  <c r="CJ29" i="43"/>
  <c r="EG34" i="43"/>
  <c r="FK33" i="43" s="1"/>
  <c r="FK29" i="43" l="1"/>
  <c r="FC40" i="43" l="1"/>
  <c r="FG63" i="43" l="1"/>
  <c r="FC29" i="43"/>
  <c r="EU31" i="43"/>
  <c r="EY31" i="43" s="1"/>
  <c r="EU63" i="43"/>
  <c r="EU30" i="43"/>
  <c r="EY30" i="43" s="1"/>
  <c r="CR65" i="43"/>
  <c r="CM65" i="43"/>
  <c r="CM67" i="43"/>
  <c r="CR67" i="43"/>
  <c r="EU67" i="43" l="1"/>
  <c r="FP66" i="43" s="1"/>
  <c r="EY45" i="43"/>
  <c r="FC45" i="43"/>
  <c r="DO16" i="43" s="1"/>
  <c r="EQ45" i="43"/>
  <c r="FC34" i="43"/>
  <c r="FU66" i="43"/>
  <c r="FU67" i="43"/>
  <c r="FG30" i="43"/>
  <c r="FU40" i="43"/>
  <c r="FZ40" i="43" s="1"/>
  <c r="GE40" i="43" s="1"/>
  <c r="FG32" i="43"/>
  <c r="EU45" i="43"/>
  <c r="EU34" i="43"/>
  <c r="FP67" i="43" l="1"/>
  <c r="FZ67" i="43" s="1"/>
  <c r="GE67" i="43" s="1"/>
  <c r="EY34" i="43"/>
  <c r="CI26" i="43" s="1"/>
  <c r="DO14" i="43"/>
  <c r="FU29" i="43"/>
  <c r="FZ29" i="43" s="1"/>
  <c r="GE29" i="43" s="1"/>
  <c r="FG28" i="43"/>
  <c r="CN26" i="43" s="1"/>
  <c r="FP44" i="43"/>
  <c r="FZ66" i="43"/>
  <c r="GE66" i="43" s="1"/>
  <c r="FU45" i="43"/>
  <c r="CR43" i="43"/>
  <c r="CI37" i="43"/>
  <c r="CM43" i="43" s="1"/>
  <c r="FP45" i="43"/>
  <c r="DO18" i="43" l="1"/>
  <c r="CT62" i="43"/>
  <c r="CU62" i="43"/>
  <c r="CM32" i="43"/>
  <c r="CR32" i="43"/>
  <c r="FP34" i="43"/>
  <c r="FP33" i="43"/>
  <c r="CD59" i="43"/>
  <c r="CS59" i="43" s="1"/>
  <c r="GI67" i="43"/>
  <c r="FU44" i="43"/>
  <c r="FZ44" i="43" s="1"/>
  <c r="GE44" i="43" s="1"/>
  <c r="CR45" i="43"/>
  <c r="CN37" i="43"/>
  <c r="CM45" i="43" s="1"/>
  <c r="FZ45" i="43"/>
  <c r="GE45" i="43" s="1"/>
  <c r="CR34" i="43"/>
  <c r="FU33" i="43"/>
  <c r="CM34" i="43"/>
  <c r="FU34" i="43"/>
  <c r="DL15" i="43" l="1"/>
  <c r="DR15" i="43" s="1"/>
  <c r="DI15" i="43"/>
  <c r="CU40" i="43"/>
  <c r="CT40" i="43"/>
  <c r="FZ34" i="43"/>
  <c r="GE34" i="43" s="1"/>
  <c r="FZ33" i="43"/>
  <c r="GE33" i="43" s="1"/>
  <c r="CX59" i="43"/>
  <c r="I38" i="50" s="1"/>
  <c r="GI45" i="43"/>
  <c r="CD37" i="43"/>
  <c r="CS37" i="43" s="1"/>
  <c r="CX37" i="43" l="1"/>
  <c r="I37" i="50" s="1"/>
  <c r="DI16" i="43"/>
  <c r="DU15" i="43"/>
  <c r="CD26" i="43"/>
  <c r="CS26" i="43" s="1"/>
  <c r="CU29" i="43"/>
  <c r="GI34" i="43"/>
  <c r="CT29" i="43"/>
  <c r="DL16" i="43"/>
  <c r="DI14" i="43" l="1"/>
  <c r="CX26" i="43"/>
  <c r="I36" i="50" s="1"/>
  <c r="DR16" i="43"/>
  <c r="DL14" i="43"/>
  <c r="CG4" i="43" l="1"/>
  <c r="DR14" i="43"/>
  <c r="DU14" i="43" s="1"/>
  <c r="DI18" i="43"/>
  <c r="CB12" i="43" s="1"/>
  <c r="DU16" i="43"/>
  <c r="DL18" i="43"/>
  <c r="CV4" i="43" l="1"/>
  <c r="T36" i="50" s="1"/>
  <c r="I39" i="50"/>
  <c r="CX15" i="43"/>
  <c r="CJ12" i="43"/>
  <c r="CD12" i="43"/>
  <c r="CN12" i="43"/>
  <c r="CR12" i="43"/>
  <c r="CP12" i="43"/>
  <c r="CH12" i="43"/>
  <c r="CL12" i="43"/>
  <c r="CX12" i="43"/>
  <c r="CV12" i="43"/>
  <c r="CT12" i="43"/>
  <c r="DU18" i="43"/>
  <c r="CF12" i="43"/>
  <c r="DR18" i="43"/>
  <c r="CV15" i="43"/>
  <c r="CJ15" i="43"/>
  <c r="CZ12" i="43" l="1"/>
  <c r="CG6" i="43" s="1"/>
  <c r="CT15" i="43"/>
  <c r="CR15" i="43"/>
  <c r="CP15" i="43"/>
  <c r="CN15" i="43" l="1"/>
  <c r="CL15" i="43" l="1"/>
  <c r="CH15" i="43" l="1"/>
  <c r="CF15" i="43" l="1"/>
  <c r="CB17" i="43"/>
  <c r="CZ15"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E29" authorId="0" shapeId="0" xr:uid="{8FC90911-2375-48B3-B7F4-923B074DBF66}">
      <text>
        <r>
          <rPr>
            <sz val="9"/>
            <color indexed="81"/>
            <rFont val="BIZ UDゴシック"/>
            <family val="3"/>
            <charset val="128"/>
          </rPr>
          <t>国保所得控除して0円となる加入者の所得は除いて表示されます</t>
        </r>
      </text>
    </comment>
    <comment ref="N37" authorId="0" shapeId="0" xr:uid="{20F493EB-2D6E-4619-A8C7-D54C6D1039B4}">
      <text>
        <r>
          <rPr>
            <b/>
            <sz val="9"/>
            <color indexed="81"/>
            <rFont val="MS P ゴシック"/>
            <family val="3"/>
            <charset val="128"/>
          </rPr>
          <t>数式に使用しているセルなし</t>
        </r>
      </text>
    </comment>
    <comment ref="CE40" authorId="0" shapeId="0" xr:uid="{5B1617CA-7E7A-4651-8AC2-952ED35F115C}">
      <text>
        <r>
          <rPr>
            <sz val="9"/>
            <color indexed="81"/>
            <rFont val="BIZ UDゴシック"/>
            <family val="3"/>
            <charset val="128"/>
          </rPr>
          <t>国保所得控除して0円となる加入者の所得は除いて表示されます</t>
        </r>
      </text>
    </comment>
    <comment ref="CE51" authorId="0" shapeId="0" xr:uid="{61EC0FD9-1F51-4B41-8340-67B2A114914A}">
      <text>
        <r>
          <rPr>
            <sz val="9"/>
            <color indexed="81"/>
            <rFont val="BIZ UDゴシック"/>
            <family val="3"/>
            <charset val="128"/>
          </rPr>
          <t>国保所得控除して0円となる加入者の所得は除いて表示されます</t>
        </r>
      </text>
    </comment>
    <comment ref="CE62" authorId="0" shapeId="0" xr:uid="{9F39D909-B71D-4589-83F4-C823690F5E96}">
      <text>
        <r>
          <rPr>
            <sz val="9"/>
            <color indexed="81"/>
            <rFont val="BIZ UDゴシック"/>
            <family val="3"/>
            <charset val="128"/>
          </rPr>
          <t>国保所得控除して0円となる加入者の所得は除いて表示されます</t>
        </r>
      </text>
    </comment>
  </commentList>
</comments>
</file>

<file path=xl/sharedStrings.xml><?xml version="1.0" encoding="utf-8"?>
<sst xmlns="http://schemas.openxmlformats.org/spreadsheetml/2006/main" count="908" uniqueCount="321">
  <si>
    <t>/100</t>
    <phoneticPr fontId="2"/>
  </si>
  <si>
    <t>7割均等</t>
    <rPh sb="1" eb="2">
      <t>ワリ</t>
    </rPh>
    <rPh sb="2" eb="4">
      <t>キントウ</t>
    </rPh>
    <phoneticPr fontId="2"/>
  </si>
  <si>
    <t>7割平等</t>
    <rPh sb="1" eb="2">
      <t>ワリ</t>
    </rPh>
    <rPh sb="2" eb="4">
      <t>ビョウドウ</t>
    </rPh>
    <phoneticPr fontId="2"/>
  </si>
  <si>
    <t>医療</t>
    <rPh sb="0" eb="2">
      <t>イリョウ</t>
    </rPh>
    <phoneticPr fontId="2"/>
  </si>
  <si>
    <t>介護</t>
    <rPh sb="0" eb="2">
      <t>カイゴ</t>
    </rPh>
    <phoneticPr fontId="2"/>
  </si>
  <si>
    <t>5割均等</t>
    <rPh sb="1" eb="2">
      <t>ワリ</t>
    </rPh>
    <rPh sb="2" eb="4">
      <t>キントウ</t>
    </rPh>
    <phoneticPr fontId="2"/>
  </si>
  <si>
    <t>5割平等</t>
    <rPh sb="1" eb="2">
      <t>ワリ</t>
    </rPh>
    <rPh sb="2" eb="4">
      <t>ビョウドウ</t>
    </rPh>
    <phoneticPr fontId="2"/>
  </si>
  <si>
    <t>2割均等</t>
    <rPh sb="1" eb="2">
      <t>ワリ</t>
    </rPh>
    <rPh sb="2" eb="4">
      <t>キントウ</t>
    </rPh>
    <phoneticPr fontId="2"/>
  </si>
  <si>
    <t>2割平等</t>
    <rPh sb="1" eb="2">
      <t>ワリ</t>
    </rPh>
    <rPh sb="2" eb="4">
      <t>ビョウドウ</t>
    </rPh>
    <phoneticPr fontId="2"/>
  </si>
  <si>
    <t>７割</t>
    <rPh sb="1" eb="2">
      <t>ワリ</t>
    </rPh>
    <phoneticPr fontId="2"/>
  </si>
  <si>
    <t>５割</t>
    <rPh sb="1" eb="2">
      <t>ワリ</t>
    </rPh>
    <phoneticPr fontId="2"/>
  </si>
  <si>
    <t>２割</t>
    <rPh sb="1" eb="2">
      <t>ワリ</t>
    </rPh>
    <phoneticPr fontId="2"/>
  </si>
  <si>
    <t>医療分</t>
    <rPh sb="0" eb="2">
      <t>イリョウ</t>
    </rPh>
    <rPh sb="2" eb="3">
      <t>ブン</t>
    </rPh>
    <phoneticPr fontId="2"/>
  </si>
  <si>
    <t>介護分</t>
    <rPh sb="0" eb="2">
      <t>カイゴ</t>
    </rPh>
    <rPh sb="2" eb="3">
      <t>ブン</t>
    </rPh>
    <phoneticPr fontId="2"/>
  </si>
  <si>
    <t>加入者数</t>
    <rPh sb="0" eb="4">
      <t>カニュウシャスウ</t>
    </rPh>
    <phoneticPr fontId="2"/>
  </si>
  <si>
    <t>均等割</t>
    <rPh sb="0" eb="3">
      <t>キントウワリ</t>
    </rPh>
    <phoneticPr fontId="2"/>
  </si>
  <si>
    <t>平等割</t>
    <rPh sb="0" eb="2">
      <t>ビョウドウ</t>
    </rPh>
    <rPh sb="2" eb="3">
      <t>ワリ</t>
    </rPh>
    <phoneticPr fontId="2"/>
  </si>
  <si>
    <t>賦課基準所得</t>
    <rPh sb="0" eb="2">
      <t>フカ</t>
    </rPh>
    <rPh sb="2" eb="4">
      <t>キジュン</t>
    </rPh>
    <rPh sb="4" eb="6">
      <t>ショトク</t>
    </rPh>
    <phoneticPr fontId="2"/>
  </si>
  <si>
    <t>給与</t>
    <rPh sb="0" eb="2">
      <t>キュウヨ</t>
    </rPh>
    <phoneticPr fontId="2"/>
  </si>
  <si>
    <t>年金</t>
    <rPh sb="0" eb="2">
      <t>ネンキン</t>
    </rPh>
    <phoneticPr fontId="2"/>
  </si>
  <si>
    <t>その他</t>
    <rPh sb="2" eb="3">
      <t>タ</t>
    </rPh>
    <phoneticPr fontId="2"/>
  </si>
  <si>
    <t>所得割</t>
    <rPh sb="0" eb="2">
      <t>ショトク</t>
    </rPh>
    <rPh sb="2" eb="3">
      <t>ワリ</t>
    </rPh>
    <phoneticPr fontId="2"/>
  </si>
  <si>
    <t>所得割合計</t>
    <rPh sb="0" eb="2">
      <t>ショトク</t>
    </rPh>
    <rPh sb="2" eb="3">
      <t>ワリ</t>
    </rPh>
    <rPh sb="3" eb="5">
      <t>ゴウケイ</t>
    </rPh>
    <phoneticPr fontId="2"/>
  </si>
  <si>
    <t>計</t>
    <rPh sb="0" eb="1">
      <t>ケイ</t>
    </rPh>
    <phoneticPr fontId="2"/>
  </si>
  <si>
    <t>65歳以上軽減判定年金所得</t>
    <rPh sb="2" eb="3">
      <t>サイ</t>
    </rPh>
    <rPh sb="3" eb="5">
      <t>イジョウ</t>
    </rPh>
    <rPh sb="5" eb="7">
      <t>ケイゲン</t>
    </rPh>
    <rPh sb="7" eb="9">
      <t>ハンテイ</t>
    </rPh>
    <rPh sb="9" eb="11">
      <t>ネンキン</t>
    </rPh>
    <rPh sb="11" eb="13">
      <t>ショトク</t>
    </rPh>
    <phoneticPr fontId="2"/>
  </si>
  <si>
    <t>国保控除</t>
    <rPh sb="0" eb="2">
      <t>コクホ</t>
    </rPh>
    <rPh sb="2" eb="4">
      <t>コウジョ</t>
    </rPh>
    <phoneticPr fontId="2"/>
  </si>
  <si>
    <t>限度額</t>
    <rPh sb="0" eb="3">
      <t>ゲンドガク</t>
    </rPh>
    <phoneticPr fontId="2"/>
  </si>
  <si>
    <t>介護分</t>
    <rPh sb="0" eb="3">
      <t>カイゴブン</t>
    </rPh>
    <phoneticPr fontId="2"/>
  </si>
  <si>
    <t>合計</t>
    <rPh sb="0" eb="2">
      <t>ゴウケイ</t>
    </rPh>
    <phoneticPr fontId="2"/>
  </si>
  <si>
    <t>保険料のかかる月</t>
    <rPh sb="0" eb="3">
      <t>ホケンリョウ</t>
    </rPh>
    <rPh sb="7" eb="8">
      <t>ツキ</t>
    </rPh>
    <phoneticPr fontId="2"/>
  </si>
  <si>
    <t>回払い</t>
    <rPh sb="0" eb="1">
      <t>カイ</t>
    </rPh>
    <rPh sb="1" eb="2">
      <t>ハラ</t>
    </rPh>
    <phoneticPr fontId="2"/>
  </si>
  <si>
    <t>月割医療</t>
    <rPh sb="0" eb="2">
      <t>ツキワ</t>
    </rPh>
    <rPh sb="2" eb="4">
      <t>イリョウ</t>
    </rPh>
    <phoneticPr fontId="2"/>
  </si>
  <si>
    <t>月割介護</t>
    <rPh sb="0" eb="2">
      <t>ツキワ</t>
    </rPh>
    <rPh sb="2" eb="4">
      <t>カイゴ</t>
    </rPh>
    <phoneticPr fontId="2"/>
  </si>
  <si>
    <t>第1期</t>
    <rPh sb="0" eb="1">
      <t>ダイ</t>
    </rPh>
    <rPh sb="2" eb="3">
      <t>キ</t>
    </rPh>
    <phoneticPr fontId="2"/>
  </si>
  <si>
    <t>第2期</t>
    <rPh sb="0" eb="1">
      <t>ダイ</t>
    </rPh>
    <rPh sb="2" eb="3">
      <t>キ</t>
    </rPh>
    <phoneticPr fontId="2"/>
  </si>
  <si>
    <t>第3期</t>
    <rPh sb="0" eb="1">
      <t>ダイ</t>
    </rPh>
    <rPh sb="2" eb="3">
      <t>キ</t>
    </rPh>
    <phoneticPr fontId="2"/>
  </si>
  <si>
    <t>第4期</t>
    <rPh sb="0" eb="1">
      <t>ダイ</t>
    </rPh>
    <rPh sb="2" eb="3">
      <t>キ</t>
    </rPh>
    <phoneticPr fontId="2"/>
  </si>
  <si>
    <t>第5期</t>
    <rPh sb="0" eb="1">
      <t>ダイ</t>
    </rPh>
    <rPh sb="2" eb="3">
      <t>キ</t>
    </rPh>
    <phoneticPr fontId="2"/>
  </si>
  <si>
    <t>第6期</t>
    <rPh sb="0" eb="1">
      <t>ダイ</t>
    </rPh>
    <rPh sb="2" eb="3">
      <t>キ</t>
    </rPh>
    <phoneticPr fontId="2"/>
  </si>
  <si>
    <t>第7期</t>
    <rPh sb="0" eb="1">
      <t>ダイ</t>
    </rPh>
    <rPh sb="2" eb="3">
      <t>キ</t>
    </rPh>
    <phoneticPr fontId="2"/>
  </si>
  <si>
    <t>第8期</t>
    <rPh sb="0" eb="1">
      <t>ダイ</t>
    </rPh>
    <rPh sb="2" eb="3">
      <t>キ</t>
    </rPh>
    <phoneticPr fontId="2"/>
  </si>
  <si>
    <t>第9期</t>
    <rPh sb="0" eb="1">
      <t>ダイ</t>
    </rPh>
    <rPh sb="2" eb="3">
      <t>キ</t>
    </rPh>
    <phoneticPr fontId="2"/>
  </si>
  <si>
    <t>第10期</t>
    <rPh sb="0" eb="1">
      <t>ダイ</t>
    </rPh>
    <rPh sb="3" eb="4">
      <t>キ</t>
    </rPh>
    <phoneticPr fontId="2"/>
  </si>
  <si>
    <t>6/末</t>
    <rPh sb="2" eb="3">
      <t>マツ</t>
    </rPh>
    <phoneticPr fontId="2"/>
  </si>
  <si>
    <t>7/末</t>
    <rPh sb="2" eb="3">
      <t>マツ</t>
    </rPh>
    <phoneticPr fontId="2"/>
  </si>
  <si>
    <t>8/末</t>
    <rPh sb="2" eb="3">
      <t>マツ</t>
    </rPh>
    <phoneticPr fontId="2"/>
  </si>
  <si>
    <t>9/末</t>
    <rPh sb="2" eb="3">
      <t>マツ</t>
    </rPh>
    <phoneticPr fontId="2"/>
  </si>
  <si>
    <t>10/末</t>
    <rPh sb="3" eb="4">
      <t>マツ</t>
    </rPh>
    <phoneticPr fontId="2"/>
  </si>
  <si>
    <t>11/末</t>
    <rPh sb="3" eb="4">
      <t>マツ</t>
    </rPh>
    <phoneticPr fontId="2"/>
  </si>
  <si>
    <t>12/末</t>
    <rPh sb="3" eb="4">
      <t>マツ</t>
    </rPh>
    <phoneticPr fontId="2"/>
  </si>
  <si>
    <t>1/末</t>
    <rPh sb="2" eb="3">
      <t>マツ</t>
    </rPh>
    <phoneticPr fontId="2"/>
  </si>
  <si>
    <t>2/末</t>
    <rPh sb="2" eb="3">
      <t>マツ</t>
    </rPh>
    <phoneticPr fontId="2"/>
  </si>
  <si>
    <t>3/末</t>
    <rPh sb="2" eb="3">
      <t>マツ</t>
    </rPh>
    <phoneticPr fontId="2"/>
  </si>
  <si>
    <t>年間保険料</t>
    <rPh sb="0" eb="2">
      <t>ネンカン</t>
    </rPh>
    <rPh sb="2" eb="5">
      <t>ホケンリョウ</t>
    </rPh>
    <phoneticPr fontId="2"/>
  </si>
  <si>
    <t>ヶ月分</t>
    <rPh sb="1" eb="3">
      <t>ゲツブン</t>
    </rPh>
    <phoneticPr fontId="2"/>
  </si>
  <si>
    <t>納付のある月</t>
    <rPh sb="0" eb="2">
      <t>ノウフ</t>
    </rPh>
    <rPh sb="5" eb="6">
      <t>ツキ</t>
    </rPh>
    <phoneticPr fontId="2"/>
  </si>
  <si>
    <t>実際の納付は</t>
    <rPh sb="0" eb="2">
      <t>ジッサイ</t>
    </rPh>
    <rPh sb="3" eb="5">
      <t>ノウフ</t>
    </rPh>
    <phoneticPr fontId="2"/>
  </si>
  <si>
    <t>こちら→</t>
    <phoneticPr fontId="2"/>
  </si>
  <si>
    <t>納期限</t>
    <rPh sb="0" eb="3">
      <t>ノウキゲン</t>
    </rPh>
    <phoneticPr fontId="2"/>
  </si>
  <si>
    <t>後期高齢者支援分</t>
    <rPh sb="0" eb="2">
      <t>コウキ</t>
    </rPh>
    <rPh sb="2" eb="5">
      <t>コウレイシャ</t>
    </rPh>
    <rPh sb="5" eb="7">
      <t>シエン</t>
    </rPh>
    <rPh sb="7" eb="8">
      <t>ブン</t>
    </rPh>
    <phoneticPr fontId="2"/>
  </si>
  <si>
    <t>国民健康保険料率</t>
    <rPh sb="0" eb="2">
      <t>コクミン</t>
    </rPh>
    <rPh sb="2" eb="4">
      <t>ケンコウ</t>
    </rPh>
    <rPh sb="4" eb="6">
      <t>ホケン</t>
    </rPh>
    <rPh sb="6" eb="7">
      <t>リョウ</t>
    </rPh>
    <rPh sb="7" eb="8">
      <t>リツ</t>
    </rPh>
    <phoneticPr fontId="2"/>
  </si>
  <si>
    <t>半額軽減世帯料率</t>
    <rPh sb="0" eb="2">
      <t>ハンガク</t>
    </rPh>
    <rPh sb="2" eb="4">
      <t>ケイゲン</t>
    </rPh>
    <rPh sb="4" eb="6">
      <t>セタイ</t>
    </rPh>
    <rPh sb="6" eb="8">
      <t>リョウリツ</t>
    </rPh>
    <phoneticPr fontId="2"/>
  </si>
  <si>
    <t>被保険者数</t>
    <rPh sb="0" eb="4">
      <t>ヒホケンシャ</t>
    </rPh>
    <rPh sb="4" eb="5">
      <t>スウ</t>
    </rPh>
    <phoneticPr fontId="2"/>
  </si>
  <si>
    <t>世帯員②</t>
    <rPh sb="0" eb="3">
      <t>セタイイン</t>
    </rPh>
    <phoneticPr fontId="2"/>
  </si>
  <si>
    <t>円</t>
    <rPh sb="0" eb="1">
      <t>エン</t>
    </rPh>
    <phoneticPr fontId="2"/>
  </si>
  <si>
    <t>－</t>
    <phoneticPr fontId="2"/>
  </si>
  <si>
    <t>／</t>
    <phoneticPr fontId="2"/>
  </si>
  <si>
    <t>＝</t>
    <phoneticPr fontId="2"/>
  </si>
  <si>
    <t>世帯員③</t>
    <rPh sb="0" eb="3">
      <t>セタイイン</t>
    </rPh>
    <phoneticPr fontId="2"/>
  </si>
  <si>
    <t>世帯員④</t>
    <rPh sb="0" eb="3">
      <t>セタイイン</t>
    </rPh>
    <phoneticPr fontId="2"/>
  </si>
  <si>
    <t>世帯員⑤</t>
    <rPh sb="0" eb="3">
      <t>セタイイン</t>
    </rPh>
    <phoneticPr fontId="2"/>
  </si>
  <si>
    <t>世帯主</t>
    <rPh sb="0" eb="3">
      <t>セタイヌシ</t>
    </rPh>
    <phoneticPr fontId="2"/>
  </si>
  <si>
    <t>擬制世帯主</t>
    <rPh sb="0" eb="2">
      <t>ギセイ</t>
    </rPh>
    <rPh sb="2" eb="5">
      <t>セタイヌシ</t>
    </rPh>
    <phoneticPr fontId="2"/>
  </si>
  <si>
    <t>軽減基準所得</t>
    <rPh sb="0" eb="2">
      <t>ケイゲン</t>
    </rPh>
    <rPh sb="2" eb="4">
      <t>キジュン</t>
    </rPh>
    <rPh sb="4" eb="6">
      <t>ショトク</t>
    </rPh>
    <phoneticPr fontId="2"/>
  </si>
  <si>
    <t>世帯員⑥</t>
    <rPh sb="0" eb="3">
      <t>セタイイン</t>
    </rPh>
    <phoneticPr fontId="2"/>
  </si>
  <si>
    <t>均等割合計</t>
    <rPh sb="0" eb="3">
      <t>キントウワリ</t>
    </rPh>
    <rPh sb="3" eb="5">
      <t>ゴウケイ</t>
    </rPh>
    <phoneticPr fontId="2"/>
  </si>
  <si>
    <t>＋</t>
    <phoneticPr fontId="2"/>
  </si>
  <si>
    <t>平等割合計</t>
    <rPh sb="0" eb="2">
      <t>ビョウドウ</t>
    </rPh>
    <rPh sb="2" eb="3">
      <t>ワリ</t>
    </rPh>
    <rPh sb="3" eb="5">
      <t>ゴウケイ</t>
    </rPh>
    <phoneticPr fontId="2"/>
  </si>
  <si>
    <t>≒</t>
    <phoneticPr fontId="2"/>
  </si>
  <si>
    <t>保険料医療分</t>
    <rPh sb="0" eb="2">
      <t>ホケン</t>
    </rPh>
    <rPh sb="2" eb="3">
      <t>リョウ</t>
    </rPh>
    <rPh sb="3" eb="5">
      <t>イリョウ</t>
    </rPh>
    <rPh sb="5" eb="6">
      <t>ブン</t>
    </rPh>
    <phoneticPr fontId="2"/>
  </si>
  <si>
    <t>所得割計</t>
    <rPh sb="0" eb="2">
      <t>ショトク</t>
    </rPh>
    <rPh sb="2" eb="3">
      <t>ワリ</t>
    </rPh>
    <rPh sb="3" eb="4">
      <t>ケイ</t>
    </rPh>
    <phoneticPr fontId="2"/>
  </si>
  <si>
    <t>保険料後期高齢者支援分</t>
    <rPh sb="0" eb="2">
      <t>ホケン</t>
    </rPh>
    <rPh sb="2" eb="3">
      <t>リョウ</t>
    </rPh>
    <rPh sb="3" eb="5">
      <t>コウキ</t>
    </rPh>
    <rPh sb="5" eb="8">
      <t>コウレイシャ</t>
    </rPh>
    <rPh sb="8" eb="10">
      <t>シエン</t>
    </rPh>
    <rPh sb="10" eb="11">
      <t>ブン</t>
    </rPh>
    <phoneticPr fontId="2"/>
  </si>
  <si>
    <t>保険料介護分</t>
    <rPh sb="0" eb="2">
      <t>ホケン</t>
    </rPh>
    <rPh sb="2" eb="3">
      <t>リョウ</t>
    </rPh>
    <rPh sb="3" eb="5">
      <t>カイゴ</t>
    </rPh>
    <rPh sb="5" eb="6">
      <t>ブン</t>
    </rPh>
    <phoneticPr fontId="2"/>
  </si>
  <si>
    <t>資格と所得</t>
    <rPh sb="0" eb="2">
      <t>シカク</t>
    </rPh>
    <rPh sb="3" eb="5">
      <t>ショトク</t>
    </rPh>
    <phoneticPr fontId="2"/>
  </si>
  <si>
    <t>被保険者</t>
    <rPh sb="0" eb="4">
      <t>ヒホケンシャ</t>
    </rPh>
    <phoneticPr fontId="2"/>
  </si>
  <si>
    <t>非加入者</t>
    <rPh sb="0" eb="1">
      <t>ヒ</t>
    </rPh>
    <rPh sb="1" eb="3">
      <t>カニュウ</t>
    </rPh>
    <rPh sb="3" eb="4">
      <t>シャ</t>
    </rPh>
    <phoneticPr fontId="2"/>
  </si>
  <si>
    <t>世帯主</t>
    <rPh sb="0" eb="2">
      <t>セタイ</t>
    </rPh>
    <rPh sb="2" eb="3">
      <t>シュ</t>
    </rPh>
    <phoneticPr fontId="2"/>
  </si>
  <si>
    <t>種別</t>
    <rPh sb="0" eb="2">
      <t>シュベツ</t>
    </rPh>
    <phoneticPr fontId="2"/>
  </si>
  <si>
    <t>年齢</t>
    <rPh sb="0" eb="2">
      <t>ネンレイ</t>
    </rPh>
    <phoneticPr fontId="2"/>
  </si>
  <si>
    <t>４０歳未満</t>
    <rPh sb="2" eb="3">
      <t>サイ</t>
    </rPh>
    <rPh sb="3" eb="5">
      <t>ミマン</t>
    </rPh>
    <phoneticPr fontId="2"/>
  </si>
  <si>
    <t>４０～６４歳</t>
    <rPh sb="5" eb="6">
      <t>サイ</t>
    </rPh>
    <phoneticPr fontId="2"/>
  </si>
  <si>
    <t>６５歳以上</t>
    <rPh sb="2" eb="3">
      <t>サイ</t>
    </rPh>
    <rPh sb="3" eb="5">
      <t>イジョウ</t>
    </rPh>
    <phoneticPr fontId="2"/>
  </si>
  <si>
    <t>世帯員②</t>
    <rPh sb="0" eb="2">
      <t>セタイ</t>
    </rPh>
    <rPh sb="2" eb="3">
      <t>イン</t>
    </rPh>
    <phoneticPr fontId="2"/>
  </si>
  <si>
    <t>世帯員③</t>
    <rPh sb="0" eb="2">
      <t>セタイ</t>
    </rPh>
    <rPh sb="2" eb="3">
      <t>イン</t>
    </rPh>
    <phoneticPr fontId="2"/>
  </si>
  <si>
    <t>世帯員④</t>
    <rPh sb="0" eb="2">
      <t>セタイ</t>
    </rPh>
    <rPh sb="2" eb="3">
      <t>イン</t>
    </rPh>
    <phoneticPr fontId="2"/>
  </si>
  <si>
    <t>世帯員⑤</t>
    <rPh sb="0" eb="2">
      <t>セタイ</t>
    </rPh>
    <rPh sb="2" eb="3">
      <t>イン</t>
    </rPh>
    <phoneticPr fontId="2"/>
  </si>
  <si>
    <t>介護保険２号被保険者数</t>
    <rPh sb="0" eb="2">
      <t>カイゴ</t>
    </rPh>
    <rPh sb="2" eb="4">
      <t>ホケン</t>
    </rPh>
    <rPh sb="5" eb="6">
      <t>ゴウ</t>
    </rPh>
    <rPh sb="6" eb="10">
      <t>ヒホケンシャ</t>
    </rPh>
    <rPh sb="10" eb="11">
      <t>スウ</t>
    </rPh>
    <phoneticPr fontId="2"/>
  </si>
  <si>
    <t>資格</t>
    <rPh sb="0" eb="2">
      <t>シカク</t>
    </rPh>
    <phoneticPr fontId="2"/>
  </si>
  <si>
    <t>医</t>
    <rPh sb="0" eb="1">
      <t>イ</t>
    </rPh>
    <phoneticPr fontId="2"/>
  </si>
  <si>
    <t>介</t>
    <rPh sb="0" eb="1">
      <t>スケ</t>
    </rPh>
    <phoneticPr fontId="2"/>
  </si>
  <si>
    <t>後社</t>
    <rPh sb="0" eb="2">
      <t>ゴシャ</t>
    </rPh>
    <phoneticPr fontId="2"/>
  </si>
  <si>
    <t>後国</t>
    <rPh sb="0" eb="1">
      <t>アト</t>
    </rPh>
    <rPh sb="1" eb="2">
      <t>コク</t>
    </rPh>
    <phoneticPr fontId="2"/>
  </si>
  <si>
    <t>軽減額</t>
    <rPh sb="0" eb="2">
      <t>ケイゲン</t>
    </rPh>
    <rPh sb="2" eb="3">
      <t>ガク</t>
    </rPh>
    <phoneticPr fontId="2"/>
  </si>
  <si>
    <t>／年</t>
    <rPh sb="1" eb="2">
      <t>ネン</t>
    </rPh>
    <phoneticPr fontId="2"/>
  </si>
  <si>
    <t>後期高齢者（旧国保）</t>
    <rPh sb="0" eb="2">
      <t>コウキ</t>
    </rPh>
    <rPh sb="2" eb="4">
      <t>コウレイ</t>
    </rPh>
    <rPh sb="4" eb="5">
      <t>シャ</t>
    </rPh>
    <rPh sb="6" eb="7">
      <t>キュウ</t>
    </rPh>
    <rPh sb="7" eb="9">
      <t>コクホ</t>
    </rPh>
    <phoneticPr fontId="2"/>
  </si>
  <si>
    <t>後期高齢者（旧社保）</t>
    <rPh sb="0" eb="2">
      <t>コウキ</t>
    </rPh>
    <rPh sb="2" eb="4">
      <t>コウレイ</t>
    </rPh>
    <rPh sb="4" eb="5">
      <t>シャ</t>
    </rPh>
    <rPh sb="6" eb="7">
      <t>キュウ</t>
    </rPh>
    <rPh sb="7" eb="8">
      <t>シャ</t>
    </rPh>
    <rPh sb="8" eb="9">
      <t>ホ</t>
    </rPh>
    <phoneticPr fontId="2"/>
  </si>
  <si>
    <t>均等割軽減中</t>
    <rPh sb="0" eb="3">
      <t>キントウワリ</t>
    </rPh>
    <rPh sb="3" eb="5">
      <t>ケイゲン</t>
    </rPh>
    <rPh sb="5" eb="6">
      <t>チュウ</t>
    </rPh>
    <phoneticPr fontId="2"/>
  </si>
  <si>
    <t>半額時</t>
    <rPh sb="0" eb="2">
      <t>ハンガク</t>
    </rPh>
    <rPh sb="2" eb="3">
      <t>ジ</t>
    </rPh>
    <phoneticPr fontId="2"/>
  </si>
  <si>
    <t>６５歳以上年金額</t>
    <rPh sb="2" eb="3">
      <t>サイ</t>
    </rPh>
    <rPh sb="3" eb="5">
      <t>イジョウ</t>
    </rPh>
    <rPh sb="5" eb="7">
      <t>ネンキン</t>
    </rPh>
    <rPh sb="7" eb="8">
      <t>ガク</t>
    </rPh>
    <phoneticPr fontId="2"/>
  </si>
  <si>
    <t>特別徴収基準額</t>
    <rPh sb="0" eb="2">
      <t>トクベツ</t>
    </rPh>
    <rPh sb="2" eb="4">
      <t>チョウシュウ</t>
    </rPh>
    <rPh sb="4" eb="6">
      <t>キジュン</t>
    </rPh>
    <rPh sb="6" eb="7">
      <t>ガク</t>
    </rPh>
    <phoneticPr fontId="2"/>
  </si>
  <si>
    <t>特別徴収可能性</t>
    <rPh sb="0" eb="2">
      <t>トクベツ</t>
    </rPh>
    <rPh sb="2" eb="4">
      <t>チョウシュウ</t>
    </rPh>
    <rPh sb="4" eb="7">
      <t>カノウセイ</t>
    </rPh>
    <phoneticPr fontId="2"/>
  </si>
  <si>
    <t>／月</t>
    <rPh sb="1" eb="2">
      <t>ツキ</t>
    </rPh>
    <phoneticPr fontId="2"/>
  </si>
  <si>
    <t>６５歳以上年金額</t>
    <rPh sb="2" eb="3">
      <t>サイ</t>
    </rPh>
    <rPh sb="3" eb="5">
      <t>イジョウ</t>
    </rPh>
    <rPh sb="5" eb="8">
      <t>ネンキンガク</t>
    </rPh>
    <phoneticPr fontId="2"/>
  </si>
  <si>
    <t>4月分</t>
    <phoneticPr fontId="2"/>
  </si>
  <si>
    <t>5月分</t>
    <phoneticPr fontId="2"/>
  </si>
  <si>
    <t>6月分</t>
    <phoneticPr fontId="2"/>
  </si>
  <si>
    <t>7月分</t>
    <phoneticPr fontId="2"/>
  </si>
  <si>
    <t>8月分</t>
    <phoneticPr fontId="2"/>
  </si>
  <si>
    <t>9月分</t>
    <phoneticPr fontId="2"/>
  </si>
  <si>
    <t>10月分</t>
    <phoneticPr fontId="2"/>
  </si>
  <si>
    <t>11月分</t>
    <phoneticPr fontId="2"/>
  </si>
  <si>
    <t>12月分</t>
    <phoneticPr fontId="2"/>
  </si>
  <si>
    <t>1月分</t>
    <phoneticPr fontId="2"/>
  </si>
  <si>
    <t>2月分</t>
    <phoneticPr fontId="2"/>
  </si>
  <si>
    <t>3月分</t>
    <phoneticPr fontId="2"/>
  </si>
  <si>
    <t>&lt;&lt;医療分&gt;&gt;</t>
    <rPh sb="2" eb="4">
      <t>イリョウ</t>
    </rPh>
    <rPh sb="4" eb="5">
      <t>ブン</t>
    </rPh>
    <phoneticPr fontId="2"/>
  </si>
  <si>
    <t>&lt;&lt;後期高齢者支援分&gt;&gt;</t>
    <rPh sb="2" eb="4">
      <t>コウキ</t>
    </rPh>
    <rPh sb="4" eb="7">
      <t>コウレイシャ</t>
    </rPh>
    <rPh sb="7" eb="9">
      <t>シエン</t>
    </rPh>
    <rPh sb="9" eb="10">
      <t>ブン</t>
    </rPh>
    <phoneticPr fontId="2"/>
  </si>
  <si>
    <t>&lt;&lt;介護分&gt;&gt;</t>
    <rPh sb="2" eb="4">
      <t>カイゴ</t>
    </rPh>
    <rPh sb="4" eb="5">
      <t>ブン</t>
    </rPh>
    <phoneticPr fontId="2"/>
  </si>
  <si>
    <t>軽減判定増額</t>
    <rPh sb="0" eb="2">
      <t>ケイゲン</t>
    </rPh>
    <rPh sb="2" eb="4">
      <t>ハンテイ</t>
    </rPh>
    <rPh sb="4" eb="6">
      <t>ゾウガク</t>
    </rPh>
    <phoneticPr fontId="2"/>
  </si>
  <si>
    <t>軽減基準増額後</t>
    <rPh sb="0" eb="2">
      <t>ケイゲン</t>
    </rPh>
    <rPh sb="2" eb="4">
      <t>キジュン</t>
    </rPh>
    <rPh sb="4" eb="7">
      <t>ゾウガクゴ</t>
    </rPh>
    <phoneticPr fontId="2"/>
  </si>
  <si>
    <t>給与・年金
一定以上</t>
    <rPh sb="0" eb="2">
      <t>キュウヨ</t>
    </rPh>
    <rPh sb="3" eb="5">
      <t>ネンキン</t>
    </rPh>
    <rPh sb="6" eb="8">
      <t>イッテイ</t>
    </rPh>
    <rPh sb="8" eb="10">
      <t>イジョウ</t>
    </rPh>
    <phoneticPr fontId="2"/>
  </si>
  <si>
    <t>関係なし</t>
    <phoneticPr fontId="2"/>
  </si>
  <si>
    <t>後期高齢者支援分</t>
    <phoneticPr fontId="2"/>
  </si>
  <si>
    <t>関係なし</t>
  </si>
  <si>
    <t>差額</t>
    <rPh sb="0" eb="2">
      <t>サガク</t>
    </rPh>
    <phoneticPr fontId="2"/>
  </si>
  <si>
    <t>産前産後対象者</t>
    <rPh sb="0" eb="2">
      <t>サンゼン</t>
    </rPh>
    <rPh sb="2" eb="4">
      <t>サンゴ</t>
    </rPh>
    <rPh sb="4" eb="7">
      <t>タイショウシャ</t>
    </rPh>
    <phoneticPr fontId="2"/>
  </si>
  <si>
    <t>世帯員②</t>
    <phoneticPr fontId="2"/>
  </si>
  <si>
    <t>世帯員③</t>
    <phoneticPr fontId="2"/>
  </si>
  <si>
    <t>世帯員④</t>
    <phoneticPr fontId="2"/>
  </si>
  <si>
    <t>世帯員⑤</t>
    <phoneticPr fontId="2"/>
  </si>
  <si>
    <t>世帯員⑥</t>
    <phoneticPr fontId="2"/>
  </si>
  <si>
    <t>※保険料のかかる月に注意してください</t>
    <rPh sb="1" eb="4">
      <t>ホケンリョウ</t>
    </rPh>
    <rPh sb="8" eb="9">
      <t>ツキ</t>
    </rPh>
    <rPh sb="10" eb="12">
      <t>チュウイ</t>
    </rPh>
    <phoneticPr fontId="2"/>
  </si>
  <si>
    <t>軽減対象月数</t>
    <rPh sb="0" eb="2">
      <t>ケイゲン</t>
    </rPh>
    <rPh sb="2" eb="4">
      <t>タイショウ</t>
    </rPh>
    <rPh sb="4" eb="5">
      <t>ツキ</t>
    </rPh>
    <rPh sb="5" eb="6">
      <t>スウ</t>
    </rPh>
    <phoneticPr fontId="2"/>
  </si>
  <si>
    <t>産前産後軽減</t>
    <rPh sb="0" eb="4">
      <t>サンゼンサンゴ</t>
    </rPh>
    <rPh sb="4" eb="6">
      <t>ケイゲン</t>
    </rPh>
    <phoneticPr fontId="2"/>
  </si>
  <si>
    <t>端数あり合計</t>
    <rPh sb="0" eb="2">
      <t>ハスウ</t>
    </rPh>
    <rPh sb="4" eb="6">
      <t>ゴウケイ</t>
    </rPh>
    <phoneticPr fontId="2"/>
  </si>
  <si>
    <t>差し引き</t>
    <rPh sb="0" eb="1">
      <t>サ</t>
    </rPh>
    <rPh sb="2" eb="3">
      <t>ヒ</t>
    </rPh>
    <phoneticPr fontId="2"/>
  </si>
  <si>
    <t>10円未満端数処理</t>
    <rPh sb="2" eb="3">
      <t>エン</t>
    </rPh>
    <rPh sb="3" eb="5">
      <t>ミマン</t>
    </rPh>
    <rPh sb="5" eb="7">
      <t>ハスウ</t>
    </rPh>
    <rPh sb="7" eb="9">
      <t>ショリ</t>
    </rPh>
    <phoneticPr fontId="2"/>
  </si>
  <si>
    <t>保険料の計算の内訳</t>
    <rPh sb="0" eb="3">
      <t>ホケンリョウ</t>
    </rPh>
    <rPh sb="4" eb="6">
      <t>ケイサン</t>
    </rPh>
    <rPh sb="7" eb="9">
      <t>ウチワケ</t>
    </rPh>
    <phoneticPr fontId="2"/>
  </si>
  <si>
    <t>均等割計</t>
    <rPh sb="0" eb="3">
      <t>キントウワ</t>
    </rPh>
    <rPh sb="3" eb="4">
      <t>ケイ</t>
    </rPh>
    <phoneticPr fontId="2"/>
  </si>
  <si>
    <t>平等割計</t>
    <rPh sb="0" eb="2">
      <t>ビョウドウ</t>
    </rPh>
    <rPh sb="2" eb="3">
      <t>ワリ</t>
    </rPh>
    <rPh sb="3" eb="4">
      <t>ケイ</t>
    </rPh>
    <phoneticPr fontId="2"/>
  </si>
  <si>
    <t>×</t>
    <phoneticPr fontId="2"/>
  </si>
  <si>
    <t>人</t>
    <rPh sb="0" eb="1">
      <t>ヒト</t>
    </rPh>
    <phoneticPr fontId="2"/>
  </si>
  <si>
    <t xml:space="preserve">１世帯 × </t>
    <rPh sb="1" eb="3">
      <t>セタイ</t>
    </rPh>
    <phoneticPr fontId="2"/>
  </si>
  <si>
    <t>)×</t>
    <phoneticPr fontId="2"/>
  </si>
  <si>
    <t>(</t>
    <phoneticPr fontId="2"/>
  </si>
  <si>
    <t>保険料</t>
    <rPh sb="0" eb="2">
      <t>ホケン</t>
    </rPh>
    <rPh sb="2" eb="3">
      <t>リョウ</t>
    </rPh>
    <phoneticPr fontId="2"/>
  </si>
  <si>
    <t>1か月あたりの保険料額</t>
    <rPh sb="2" eb="3">
      <t>ゲツ</t>
    </rPh>
    <rPh sb="7" eb="10">
      <t>ホケンリョウ</t>
    </rPh>
    <rPh sb="10" eb="11">
      <t>ガク</t>
    </rPh>
    <phoneticPr fontId="2"/>
  </si>
  <si>
    <t>（12か月分）</t>
    <rPh sb="4" eb="5">
      <t>ゲツ</t>
    </rPh>
    <rPh sb="5" eb="6">
      <t>ブン</t>
    </rPh>
    <phoneticPr fontId="2"/>
  </si>
  <si>
    <t>注意事項</t>
    <rPh sb="0" eb="2">
      <t>チュウイ</t>
    </rPh>
    <rPh sb="2" eb="4">
      <t>ジコウ</t>
    </rPh>
    <phoneticPr fontId="2"/>
  </si>
  <si>
    <t>※現在、どなたかが高額療養費制度を利用していれば、負担額に影響する場合があります。</t>
    <rPh sb="1" eb="3">
      <t>ゲンザイ</t>
    </rPh>
    <rPh sb="9" eb="11">
      <t>コウガク</t>
    </rPh>
    <rPh sb="11" eb="14">
      <t>リョウヨウヒ</t>
    </rPh>
    <rPh sb="14" eb="16">
      <t>セイド</t>
    </rPh>
    <rPh sb="17" eb="19">
      <t>リヨウ</t>
    </rPh>
    <rPh sb="25" eb="27">
      <t>フタン</t>
    </rPh>
    <rPh sb="27" eb="28">
      <t>ガク</t>
    </rPh>
    <rPh sb="29" eb="31">
      <t>エイキョウ</t>
    </rPh>
    <rPh sb="33" eb="35">
      <t>バアイ</t>
    </rPh>
    <phoneticPr fontId="2"/>
  </si>
  <si>
    <t>(うち介護)</t>
    <rPh sb="3" eb="5">
      <t>カイゴ</t>
    </rPh>
    <phoneticPr fontId="2"/>
  </si>
  <si>
    <t>)－</t>
    <phoneticPr fontId="2"/>
  </si>
  <si>
    <t>加入者1人ひとりの（前年中の総所得金額-43万円の合計）×料率</t>
    <rPh sb="0" eb="3">
      <t>カニュウシャ</t>
    </rPh>
    <rPh sb="4" eb="5">
      <t>ニン</t>
    </rPh>
    <rPh sb="10" eb="13">
      <t>ゼンネンチュウ</t>
    </rPh>
    <rPh sb="14" eb="17">
      <t>ソウショトク</t>
    </rPh>
    <rPh sb="17" eb="19">
      <t>キンガク</t>
    </rPh>
    <rPh sb="22" eb="24">
      <t>マンエン</t>
    </rPh>
    <rPh sb="25" eb="27">
      <t>ゴウケイ</t>
    </rPh>
    <rPh sb="29" eb="31">
      <t>リョウリツ</t>
    </rPh>
    <phoneticPr fontId="2"/>
  </si>
  <si>
    <t>（加入人数×料率）-減額分</t>
    <rPh sb="1" eb="3">
      <t>カニュウ</t>
    </rPh>
    <rPh sb="3" eb="5">
      <t>ニンズウ</t>
    </rPh>
    <rPh sb="6" eb="8">
      <t>リョウリツ</t>
    </rPh>
    <rPh sb="10" eb="13">
      <t>ゲンガクブン</t>
    </rPh>
    <phoneticPr fontId="2"/>
  </si>
  <si>
    <t>（１世帯×料率）-減額分</t>
    <rPh sb="2" eb="4">
      <t>セタイ</t>
    </rPh>
    <rPh sb="5" eb="7">
      <t>リョウリツ</t>
    </rPh>
    <rPh sb="9" eb="12">
      <t>ゲンガクブン</t>
    </rPh>
    <phoneticPr fontId="2"/>
  </si>
  <si>
    <t>=</t>
    <phoneticPr fontId="2"/>
  </si>
  <si>
    <t>◎所得割</t>
    <rPh sb="1" eb="4">
      <t>ショトクワリ</t>
    </rPh>
    <phoneticPr fontId="2"/>
  </si>
  <si>
    <t>◎均等割</t>
    <rPh sb="1" eb="4">
      <t>キントウワ</t>
    </rPh>
    <phoneticPr fontId="2"/>
  </si>
  <si>
    <t>◎平等割</t>
    <rPh sb="1" eb="3">
      <t>ビョウドウ</t>
    </rPh>
    <rPh sb="3" eb="4">
      <t>ワリ</t>
    </rPh>
    <phoneticPr fontId="2"/>
  </si>
  <si>
    <t>数式なし</t>
    <rPh sb="0" eb="2">
      <t>スウシキ</t>
    </rPh>
    <phoneticPr fontId="2"/>
  </si>
  <si>
    <t>保険料計算式</t>
    <rPh sb="0" eb="3">
      <t>ホケンリョウ</t>
    </rPh>
    <rPh sb="3" eb="6">
      <t>ケイサンシキ</t>
    </rPh>
    <phoneticPr fontId="2"/>
  </si>
  <si>
    <r>
      <t>◎</t>
    </r>
    <r>
      <rPr>
        <b/>
        <sz val="9"/>
        <rFont val="BIZ UD明朝 Medium"/>
        <family val="1"/>
        <charset val="128"/>
      </rPr>
      <t>所得割</t>
    </r>
    <rPh sb="1" eb="3">
      <t>ショトク</t>
    </rPh>
    <rPh sb="3" eb="4">
      <t>ワリ</t>
    </rPh>
    <phoneticPr fontId="2"/>
  </si>
  <si>
    <r>
      <t>◎</t>
    </r>
    <r>
      <rPr>
        <b/>
        <sz val="9"/>
        <rFont val="BIZ UD明朝 Medium"/>
        <family val="1"/>
        <charset val="128"/>
      </rPr>
      <t>均等割</t>
    </r>
    <rPh sb="1" eb="4">
      <t>キントウワリ</t>
    </rPh>
    <phoneticPr fontId="2"/>
  </si>
  <si>
    <r>
      <t>◎</t>
    </r>
    <r>
      <rPr>
        <b/>
        <sz val="9"/>
        <rFont val="BIZ UD明朝 Medium"/>
        <family val="1"/>
        <charset val="128"/>
      </rPr>
      <t>平等割</t>
    </r>
    <rPh sb="1" eb="3">
      <t>ビョウドウ</t>
    </rPh>
    <rPh sb="3" eb="4">
      <t>ワリ</t>
    </rPh>
    <phoneticPr fontId="2"/>
  </si>
  <si>
    <t>(表示は65歳～のため)</t>
    <rPh sb="1" eb="3">
      <t>ヒョウジ</t>
    </rPh>
    <rPh sb="6" eb="7">
      <t>サイ</t>
    </rPh>
    <phoneticPr fontId="2"/>
  </si>
  <si>
    <t>月から ⇒</t>
    <rPh sb="0" eb="1">
      <t>ガツ</t>
    </rPh>
    <phoneticPr fontId="2"/>
  </si>
  <si>
    <t>期から ⇒</t>
    <rPh sb="0" eb="1">
      <t>キ</t>
    </rPh>
    <phoneticPr fontId="2"/>
  </si>
  <si>
    <t>所得割計(※総所得を合算して計算した場合)</t>
    <rPh sb="0" eb="2">
      <t>ショトク</t>
    </rPh>
    <rPh sb="2" eb="3">
      <t>ワリ</t>
    </rPh>
    <rPh sb="3" eb="4">
      <t>ケイ</t>
    </rPh>
    <rPh sb="6" eb="9">
      <t>ソウショトク</t>
    </rPh>
    <rPh sb="10" eb="12">
      <t>ガッサン</t>
    </rPh>
    <rPh sb="14" eb="16">
      <t>ケイサン</t>
    </rPh>
    <rPh sb="18" eb="20">
      <t>バアイ</t>
    </rPh>
    <phoneticPr fontId="2"/>
  </si>
  <si>
    <t>◎介護分試算（軽減適用前）</t>
    <rPh sb="1" eb="3">
      <t>カイゴ</t>
    </rPh>
    <rPh sb="3" eb="4">
      <t>ブン</t>
    </rPh>
    <rPh sb="4" eb="6">
      <t>シサン</t>
    </rPh>
    <phoneticPr fontId="2"/>
  </si>
  <si>
    <t>◎後期高齢者支援分試算（軽減適用前）</t>
    <rPh sb="1" eb="3">
      <t>コウキ</t>
    </rPh>
    <rPh sb="3" eb="6">
      <t>コウレイシャ</t>
    </rPh>
    <rPh sb="6" eb="8">
      <t>シエン</t>
    </rPh>
    <rPh sb="8" eb="9">
      <t>ブン</t>
    </rPh>
    <rPh sb="9" eb="11">
      <t>シサン</t>
    </rPh>
    <phoneticPr fontId="2"/>
  </si>
  <si>
    <t>※旧社保反映</t>
    <rPh sb="1" eb="2">
      <t>キュウ</t>
    </rPh>
    <rPh sb="2" eb="4">
      <t>シャホ</t>
    </rPh>
    <rPh sb="4" eb="6">
      <t>ハンエイ</t>
    </rPh>
    <phoneticPr fontId="2"/>
  </si>
  <si>
    <t>※軽減額</t>
    <rPh sb="1" eb="3">
      <t>ケイゲン</t>
    </rPh>
    <rPh sb="3" eb="4">
      <t>ガク</t>
    </rPh>
    <phoneticPr fontId="2"/>
  </si>
  <si>
    <t>※未就学児</t>
    <rPh sb="1" eb="5">
      <t>ミシュウガクジ</t>
    </rPh>
    <phoneticPr fontId="2"/>
  </si>
  <si>
    <t>産前産後月割り保険料額</t>
    <rPh sb="0" eb="2">
      <t>サンゼン</t>
    </rPh>
    <rPh sb="2" eb="4">
      <t>サンゴ</t>
    </rPh>
    <rPh sb="4" eb="6">
      <t>ツキワ</t>
    </rPh>
    <rPh sb="7" eb="10">
      <t>ホケンリョウ</t>
    </rPh>
    <rPh sb="10" eb="11">
      <t>ガク</t>
    </rPh>
    <phoneticPr fontId="2"/>
  </si>
  <si>
    <t>◎介護分試算（軽減適用後※保険料決定額）</t>
    <rPh sb="1" eb="3">
      <t>カイゴ</t>
    </rPh>
    <rPh sb="3" eb="4">
      <t>ブン</t>
    </rPh>
    <rPh sb="4" eb="6">
      <t>シサン</t>
    </rPh>
    <phoneticPr fontId="2"/>
  </si>
  <si>
    <t>◎後期高齢者支援分試算（軽減適用後※保険料決定額）</t>
    <rPh sb="1" eb="3">
      <t>コウキ</t>
    </rPh>
    <rPh sb="3" eb="6">
      <t>コウレイシャ</t>
    </rPh>
    <rPh sb="6" eb="8">
      <t>シエン</t>
    </rPh>
    <rPh sb="8" eb="9">
      <t>ブン</t>
    </rPh>
    <rPh sb="9" eb="11">
      <t>シサン</t>
    </rPh>
    <phoneticPr fontId="2"/>
  </si>
  <si>
    <t>◎医療分試算（軽減適用後※保険料決定額）</t>
    <rPh sb="1" eb="3">
      <t>イリョウ</t>
    </rPh>
    <rPh sb="3" eb="4">
      <t>ブン</t>
    </rPh>
    <rPh sb="4" eb="6">
      <t>シサン</t>
    </rPh>
    <rPh sb="7" eb="9">
      <t>ケイゲン</t>
    </rPh>
    <rPh sb="9" eb="11">
      <t>テキヨウ</t>
    </rPh>
    <rPh sb="11" eb="12">
      <t>アト</t>
    </rPh>
    <rPh sb="13" eb="16">
      <t>ホケンリョウ</t>
    </rPh>
    <rPh sb="16" eb="18">
      <t>ケッテイ</t>
    </rPh>
    <rPh sb="18" eb="19">
      <t>ガク</t>
    </rPh>
    <phoneticPr fontId="2"/>
  </si>
  <si>
    <t>◎医療分試算（軽減適用前）</t>
    <rPh sb="1" eb="3">
      <t>イリョウ</t>
    </rPh>
    <rPh sb="3" eb="4">
      <t>ブン</t>
    </rPh>
    <rPh sb="4" eb="6">
      <t>シサン</t>
    </rPh>
    <rPh sb="7" eb="9">
      <t>ケイゲン</t>
    </rPh>
    <rPh sb="9" eb="11">
      <t>テキヨウ</t>
    </rPh>
    <rPh sb="11" eb="12">
      <t>マエ</t>
    </rPh>
    <phoneticPr fontId="2"/>
  </si>
  <si>
    <t>各被保険者ごとに計算→</t>
    <rPh sb="0" eb="1">
      <t>カク</t>
    </rPh>
    <rPh sb="1" eb="5">
      <t>ヒホケンシャ</t>
    </rPh>
    <rPh sb="8" eb="10">
      <t>ケイサン</t>
    </rPh>
    <phoneticPr fontId="2"/>
  </si>
  <si>
    <t>各所得を合算して計算→</t>
    <rPh sb="0" eb="1">
      <t>カク</t>
    </rPh>
    <rPh sb="1" eb="3">
      <t>ショトク</t>
    </rPh>
    <rPh sb="4" eb="6">
      <t>ガッサン</t>
    </rPh>
    <rPh sb="8" eb="10">
      <t>ケイサン</t>
    </rPh>
    <phoneticPr fontId="2"/>
  </si>
  <si>
    <t>子ども子育て支援分</t>
    <rPh sb="0" eb="1">
      <t>コ</t>
    </rPh>
    <rPh sb="3" eb="5">
      <t>コソダ</t>
    </rPh>
    <rPh sb="6" eb="8">
      <t>シエン</t>
    </rPh>
    <rPh sb="8" eb="9">
      <t>ブン</t>
    </rPh>
    <phoneticPr fontId="2"/>
  </si>
  <si>
    <r>
      <t>◎</t>
    </r>
    <r>
      <rPr>
        <b/>
        <sz val="11"/>
        <rFont val="BIZ UDゴシック"/>
        <family val="3"/>
        <charset val="128"/>
      </rPr>
      <t>保険料率</t>
    </r>
    <phoneticPr fontId="2"/>
  </si>
  <si>
    <r>
      <t>◎</t>
    </r>
    <r>
      <rPr>
        <b/>
        <sz val="11"/>
        <rFont val="BIZ UDゴシック"/>
        <family val="3"/>
        <charset val="128"/>
      </rPr>
      <t>軽減額</t>
    </r>
    <rPh sb="1" eb="3">
      <t>ケイゲン</t>
    </rPh>
    <rPh sb="3" eb="4">
      <t>ガク</t>
    </rPh>
    <phoneticPr fontId="2"/>
  </si>
  <si>
    <r>
      <t>◎</t>
    </r>
    <r>
      <rPr>
        <b/>
        <sz val="11"/>
        <rFont val="BIZ UDゴシック"/>
        <family val="3"/>
        <charset val="128"/>
      </rPr>
      <t>軽減基準所得</t>
    </r>
    <rPh sb="1" eb="3">
      <t>ケイゲン</t>
    </rPh>
    <rPh sb="3" eb="5">
      <t>キジュン</t>
    </rPh>
    <rPh sb="5" eb="6">
      <t>ショ</t>
    </rPh>
    <rPh sb="6" eb="7">
      <t>トク</t>
    </rPh>
    <phoneticPr fontId="2"/>
  </si>
  <si>
    <t>※旧国保の後期高齢者は5年間｢後期高齢者(旧国保)｣を選択</t>
    <rPh sb="1" eb="2">
      <t>キュウ</t>
    </rPh>
    <rPh sb="2" eb="4">
      <t>コクホ</t>
    </rPh>
    <rPh sb="5" eb="7">
      <t>コウキ</t>
    </rPh>
    <rPh sb="7" eb="10">
      <t>コウレイシャ</t>
    </rPh>
    <rPh sb="12" eb="13">
      <t>ネン</t>
    </rPh>
    <rPh sb="13" eb="14">
      <t>カン</t>
    </rPh>
    <rPh sb="15" eb="17">
      <t>コウキ</t>
    </rPh>
    <rPh sb="16" eb="19">
      <t>コウレイシャ</t>
    </rPh>
    <rPh sb="21" eb="23">
      <t>コクホ</t>
    </rPh>
    <rPh sb="26" eb="28">
      <t>センタク</t>
    </rPh>
    <phoneticPr fontId="2"/>
  </si>
  <si>
    <t>※旧社保の後期高齢者は｢後期高齢者(旧社保)｣を選択</t>
    <rPh sb="1" eb="2">
      <t>キュウ</t>
    </rPh>
    <rPh sb="2" eb="4">
      <t>シャホ</t>
    </rPh>
    <rPh sb="5" eb="7">
      <t>コウキ</t>
    </rPh>
    <rPh sb="7" eb="10">
      <t>コウレイシャ</t>
    </rPh>
    <rPh sb="12" eb="14">
      <t>コウキ</t>
    </rPh>
    <rPh sb="14" eb="17">
      <t>コウレイシャ</t>
    </rPh>
    <rPh sb="18" eb="19">
      <t>キュウ</t>
    </rPh>
    <rPh sb="19" eb="21">
      <t>シャホ</t>
    </rPh>
    <rPh sb="24" eb="26">
      <t>センタク</t>
    </rPh>
    <phoneticPr fontId="2"/>
  </si>
  <si>
    <t>(旧社保の人は、当分の間所得割・均等割・平等割が減額される）</t>
    <rPh sb="5" eb="6">
      <t>ヒト</t>
    </rPh>
    <phoneticPr fontId="2"/>
  </si>
  <si>
    <t>(5年間加入者1人の場合、平等割半額。その他の場合も旧国保者の所得が軽減判定に加わる)</t>
    <rPh sb="2" eb="3">
      <t>ネン</t>
    </rPh>
    <rPh sb="3" eb="4">
      <t>カン</t>
    </rPh>
    <rPh sb="4" eb="7">
      <t>カニュウシャ</t>
    </rPh>
    <rPh sb="8" eb="9">
      <t>ニン</t>
    </rPh>
    <rPh sb="10" eb="12">
      <t>バアイ</t>
    </rPh>
    <rPh sb="13" eb="15">
      <t>ビョウドウ</t>
    </rPh>
    <rPh sb="15" eb="16">
      <t>ワリ</t>
    </rPh>
    <rPh sb="16" eb="18">
      <t>ハンガク</t>
    </rPh>
    <rPh sb="21" eb="22">
      <t>タ</t>
    </rPh>
    <rPh sb="23" eb="25">
      <t>バアイ</t>
    </rPh>
    <rPh sb="26" eb="27">
      <t>キュウ</t>
    </rPh>
    <rPh sb="27" eb="29">
      <t>コクホ</t>
    </rPh>
    <rPh sb="29" eb="30">
      <t>シャ</t>
    </rPh>
    <rPh sb="31" eb="33">
      <t>ショトク</t>
    </rPh>
    <rPh sb="34" eb="36">
      <t>ケイゲン</t>
    </rPh>
    <rPh sb="36" eb="38">
      <t>ハンテイ</t>
    </rPh>
    <rPh sb="39" eb="40">
      <t>クワ</t>
    </rPh>
    <phoneticPr fontId="2"/>
  </si>
  <si>
    <t>年金(65以上)</t>
    <rPh sb="0" eb="2">
      <t>ネンキン</t>
    </rPh>
    <rPh sb="5" eb="7">
      <t>イジョウ</t>
    </rPh>
    <phoneticPr fontId="2"/>
  </si>
  <si>
    <t>※(旧国保)５年間軽減所得に入れ、単身なら平等割半額</t>
    <rPh sb="2" eb="3">
      <t>キュウ</t>
    </rPh>
    <rPh sb="3" eb="5">
      <t>コクホ</t>
    </rPh>
    <rPh sb="7" eb="9">
      <t>ネンカン</t>
    </rPh>
    <rPh sb="9" eb="11">
      <t>ケイゲン</t>
    </rPh>
    <rPh sb="11" eb="13">
      <t>ショトク</t>
    </rPh>
    <rPh sb="14" eb="15">
      <t>イ</t>
    </rPh>
    <rPh sb="17" eb="19">
      <t>タンシン</t>
    </rPh>
    <rPh sb="21" eb="23">
      <t>ビョウドウ</t>
    </rPh>
    <rPh sb="23" eb="24">
      <t>ワリ</t>
    </rPh>
    <rPh sb="24" eb="26">
      <t>ハンガク</t>
    </rPh>
    <phoneticPr fontId="2"/>
  </si>
  <si>
    <t>※(旧社保)２年間所得割軽減・均等割平等割半額</t>
    <phoneticPr fontId="2"/>
  </si>
  <si>
    <t>世帯主リスト</t>
    <rPh sb="0" eb="3">
      <t>セタイヌシ</t>
    </rPh>
    <phoneticPr fontId="2"/>
  </si>
  <si>
    <t>続柄リスト</t>
    <rPh sb="0" eb="1">
      <t>ツヅ</t>
    </rPh>
    <rPh sb="1" eb="2">
      <t>ガラ</t>
    </rPh>
    <phoneticPr fontId="2"/>
  </si>
  <si>
    <t>年齢リスト</t>
    <rPh sb="0" eb="2">
      <t>ネンレイ</t>
    </rPh>
    <phoneticPr fontId="2"/>
  </si>
  <si>
    <t>軽減基準(参考)</t>
    <rPh sb="0" eb="2">
      <t>ケイゲン</t>
    </rPh>
    <rPh sb="2" eb="4">
      <t>キジュン</t>
    </rPh>
    <rPh sb="5" eb="7">
      <t>サンコウ</t>
    </rPh>
    <phoneticPr fontId="2"/>
  </si>
  <si>
    <t>65以上人数</t>
  </si>
  <si>
    <r>
      <t>(1～6まで</t>
    </r>
    <r>
      <rPr>
        <sz val="8"/>
        <rFont val="BIZ UDゴシック"/>
        <family val="3"/>
        <charset val="128"/>
      </rPr>
      <t>※単胎4多胎6</t>
    </r>
    <r>
      <rPr>
        <sz val="9"/>
        <rFont val="BIZ UDゴシック"/>
        <family val="3"/>
        <charset val="128"/>
      </rPr>
      <t>)</t>
    </r>
    <rPh sb="7" eb="8">
      <t>タン</t>
    </rPh>
    <rPh sb="8" eb="9">
      <t>タイ</t>
    </rPh>
    <rPh sb="10" eb="12">
      <t>タタイ</t>
    </rPh>
    <phoneticPr fontId="2"/>
  </si>
  <si>
    <t>世帯員④所得</t>
    <rPh sb="0" eb="3">
      <t>セタイイン</t>
    </rPh>
    <rPh sb="4" eb="6">
      <t>ショトク</t>
    </rPh>
    <phoneticPr fontId="2"/>
  </si>
  <si>
    <t>世帯員②所得</t>
    <rPh sb="0" eb="3">
      <t>セタイイン</t>
    </rPh>
    <rPh sb="4" eb="6">
      <t>ショトク</t>
    </rPh>
    <phoneticPr fontId="2"/>
  </si>
  <si>
    <t>世帯員③所得</t>
    <rPh sb="0" eb="3">
      <t>セタイイン</t>
    </rPh>
    <rPh sb="4" eb="6">
      <t>ショトク</t>
    </rPh>
    <phoneticPr fontId="2"/>
  </si>
  <si>
    <t>世帯員⑤所得</t>
    <rPh sb="0" eb="3">
      <t>セタイイン</t>
    </rPh>
    <rPh sb="4" eb="6">
      <t>ショトク</t>
    </rPh>
    <phoneticPr fontId="2"/>
  </si>
  <si>
    <t>７割軽減</t>
  </si>
  <si>
    <t>５割軽減</t>
    <phoneticPr fontId="2"/>
  </si>
  <si>
    <t>２割軽減</t>
    <phoneticPr fontId="2"/>
  </si>
  <si>
    <t>←数式あり(AL)</t>
    <rPh sb="1" eb="3">
      <t>スウシキ</t>
    </rPh>
    <phoneticPr fontId="2"/>
  </si>
  <si>
    <t>←数式あり(AL･AY)</t>
    <rPh sb="1" eb="3">
      <t>スウシキ</t>
    </rPh>
    <phoneticPr fontId="2"/>
  </si>
  <si>
    <t>←数式あり(AL･AQ)</t>
    <rPh sb="1" eb="3">
      <t>スウシキ</t>
    </rPh>
    <phoneticPr fontId="2"/>
  </si>
  <si>
    <t>←数式あり(BI)</t>
    <rPh sb="1" eb="3">
      <t>スウシキ</t>
    </rPh>
    <phoneticPr fontId="2"/>
  </si>
  <si>
    <t>←数式あり(AN）</t>
    <rPh sb="1" eb="3">
      <t>スウシキ</t>
    </rPh>
    <phoneticPr fontId="2"/>
  </si>
  <si>
    <t>保険料試算のためのリスト・計算式</t>
    <rPh sb="0" eb="3">
      <t>ホケンリョウ</t>
    </rPh>
    <rPh sb="3" eb="5">
      <t>シサン</t>
    </rPh>
    <rPh sb="13" eb="16">
      <t>ケイサンシキ</t>
    </rPh>
    <phoneticPr fontId="2"/>
  </si>
  <si>
    <t>※</t>
    <phoneticPr fontId="2"/>
  </si>
  <si>
    <t>色のセルは、保険料試算入力フォームに反映するリストとして使用中（計算式でも使用しているため、変更する際は要注意です）</t>
    <rPh sb="0" eb="1">
      <t>イロ</t>
    </rPh>
    <rPh sb="6" eb="9">
      <t>ホケンリョウ</t>
    </rPh>
    <rPh sb="9" eb="11">
      <t>シサン</t>
    </rPh>
    <rPh sb="11" eb="13">
      <t>ニュウリョク</t>
    </rPh>
    <rPh sb="18" eb="20">
      <t>ハンエイ</t>
    </rPh>
    <rPh sb="28" eb="30">
      <t>シヨウ</t>
    </rPh>
    <rPh sb="30" eb="31">
      <t>ナカ</t>
    </rPh>
    <rPh sb="32" eb="35">
      <t>ケイサンシキ</t>
    </rPh>
    <rPh sb="37" eb="39">
      <t>シヨウ</t>
    </rPh>
    <rPh sb="46" eb="48">
      <t>ヘンコウ</t>
    </rPh>
    <rPh sb="50" eb="51">
      <t>サイ</t>
    </rPh>
    <rPh sb="52" eb="55">
      <t>ヨウチュウイ</t>
    </rPh>
    <phoneticPr fontId="2"/>
  </si>
  <si>
    <t>特徴表示しない</t>
    <rPh sb="0" eb="2">
      <t>トクチョウ</t>
    </rPh>
    <rPh sb="2" eb="4">
      <t>ヒョウジ</t>
    </rPh>
    <phoneticPr fontId="2"/>
  </si>
  <si>
    <t>◎子ども子育て支援分試算（軽減適用前）</t>
    <rPh sb="1" eb="2">
      <t>コ</t>
    </rPh>
    <rPh sb="4" eb="6">
      <t>コソダ</t>
    </rPh>
    <rPh sb="7" eb="9">
      <t>シエン</t>
    </rPh>
    <rPh sb="9" eb="10">
      <t>ブン</t>
    </rPh>
    <rPh sb="10" eb="12">
      <t>シサン</t>
    </rPh>
    <phoneticPr fontId="2"/>
  </si>
  <si>
    <t>◎子ども子育て支援分試算（軽減適用後※保険料決定額）</t>
    <rPh sb="1" eb="2">
      <t>コ</t>
    </rPh>
    <rPh sb="4" eb="6">
      <t>コソダ</t>
    </rPh>
    <rPh sb="7" eb="9">
      <t>シエン</t>
    </rPh>
    <rPh sb="9" eb="10">
      <t>ブン</t>
    </rPh>
    <rPh sb="10" eb="12">
      <t>シサン</t>
    </rPh>
    <phoneticPr fontId="2"/>
  </si>
  <si>
    <t>子ども子育て支援分</t>
    <rPh sb="0" eb="1">
      <t>コ</t>
    </rPh>
    <rPh sb="3" eb="5">
      <t>コソダ</t>
    </rPh>
    <rPh sb="6" eb="8">
      <t>シエン</t>
    </rPh>
    <phoneticPr fontId="2"/>
  </si>
  <si>
    <t>※18歳以下</t>
    <rPh sb="3" eb="6">
      <t>サイイカ</t>
    </rPh>
    <phoneticPr fontId="2"/>
  </si>
  <si>
    <t>↓18歳に達する以後の最初の3/31までが対象</t>
    <rPh sb="3" eb="4">
      <t>サイ</t>
    </rPh>
    <rPh sb="5" eb="6">
      <t>タッ</t>
    </rPh>
    <rPh sb="8" eb="10">
      <t>イゴ</t>
    </rPh>
    <rPh sb="11" eb="13">
      <t>サイショ</t>
    </rPh>
    <rPh sb="21" eb="23">
      <t>タイショウ</t>
    </rPh>
    <phoneticPr fontId="2"/>
  </si>
  <si>
    <t>&lt;&lt;子ども支援分&gt;&gt;</t>
    <rPh sb="2" eb="3">
      <t>コ</t>
    </rPh>
    <rPh sb="5" eb="7">
      <t>シエン</t>
    </rPh>
    <rPh sb="7" eb="8">
      <t>ブン</t>
    </rPh>
    <phoneticPr fontId="2"/>
  </si>
  <si>
    <t>月額後期</t>
    <rPh sb="0" eb="2">
      <t>ゲツガク</t>
    </rPh>
    <rPh sb="2" eb="4">
      <t>コウキ</t>
    </rPh>
    <phoneticPr fontId="2"/>
  </si>
  <si>
    <t>月額子ども</t>
    <rPh sb="0" eb="2">
      <t>ゲツガク</t>
    </rPh>
    <rPh sb="2" eb="3">
      <t>コ</t>
    </rPh>
    <phoneticPr fontId="2"/>
  </si>
  <si>
    <t>確認資料</t>
    <rPh sb="0" eb="2">
      <t>カクニン</t>
    </rPh>
    <rPh sb="2" eb="4">
      <t>シリョウ</t>
    </rPh>
    <phoneticPr fontId="2"/>
  </si>
  <si>
    <t>時点</t>
    <rPh sb="0" eb="2">
      <t>ジテン</t>
    </rPh>
    <phoneticPr fontId="2"/>
  </si>
  <si>
    <t>※軽減額は年間保険料には反映していません</t>
    <rPh sb="1" eb="3">
      <t>ケイゲン</t>
    </rPh>
    <rPh sb="3" eb="4">
      <t>ガク</t>
    </rPh>
    <rPh sb="5" eb="7">
      <t>ネンカン</t>
    </rPh>
    <rPh sb="7" eb="10">
      <t>ホケンリョウ</t>
    </rPh>
    <rPh sb="12" eb="14">
      <t>ハンエイ</t>
    </rPh>
    <phoneticPr fontId="2"/>
  </si>
  <si>
    <t>↓年間保険料には反映していません</t>
    <rPh sb="1" eb="3">
      <t>ネンカン</t>
    </rPh>
    <rPh sb="3" eb="6">
      <t>ホケンリョウ</t>
    </rPh>
    <rPh sb="8" eb="10">
      <t>ハンエイ</t>
    </rPh>
    <phoneticPr fontId="2"/>
  </si>
  <si>
    <t xml:space="preserve"> 月から⇒</t>
    <rPh sb="1" eb="2">
      <t>ガツ</t>
    </rPh>
    <phoneticPr fontId="2"/>
  </si>
  <si>
    <t xml:space="preserve"> 期から⇒</t>
    <rPh sb="1" eb="2">
      <t>キ</t>
    </rPh>
    <phoneticPr fontId="2"/>
  </si>
  <si>
    <t>↓40～64歳が対象のため数式なし</t>
    <rPh sb="6" eb="7">
      <t>サイ</t>
    </rPh>
    <rPh sb="8" eb="10">
      <t>タイショウ</t>
    </rPh>
    <rPh sb="13" eb="15">
      <t>スウシキ</t>
    </rPh>
    <phoneticPr fontId="2"/>
  </si>
  <si>
    <t>（所得割＋均等割軽減）</t>
    <rPh sb="1" eb="3">
      <t>ショトク</t>
    </rPh>
    <rPh sb="3" eb="4">
      <t>ワリ</t>
    </rPh>
    <rPh sb="5" eb="8">
      <t>キントウワ</t>
    </rPh>
    <rPh sb="8" eb="10">
      <t>ケイゲン</t>
    </rPh>
    <phoneticPr fontId="2"/>
  </si>
  <si>
    <t>◎産前産後</t>
    <rPh sb="1" eb="3">
      <t>サンゼン</t>
    </rPh>
    <rPh sb="3" eb="5">
      <t>サンゴ</t>
    </rPh>
    <phoneticPr fontId="2"/>
  </si>
  <si>
    <t>未就学児</t>
    <rPh sb="0" eb="4">
      <t>ミシュウガクジ</t>
    </rPh>
    <phoneticPr fontId="2"/>
  </si>
  <si>
    <t>以降生まれ</t>
    <rPh sb="0" eb="2">
      <t>イコウ</t>
    </rPh>
    <rPh sb="2" eb="3">
      <t>ウ</t>
    </rPh>
    <phoneticPr fontId="2"/>
  </si>
  <si>
    <t>←年度表示あり</t>
    <rPh sb="1" eb="3">
      <t>ネンド</t>
    </rPh>
    <rPh sb="3" eb="5">
      <t>ヒョウジ</t>
    </rPh>
    <phoneticPr fontId="2"/>
  </si>
  <si>
    <t>←うえと同じ数式</t>
    <rPh sb="4" eb="5">
      <t>オナ</t>
    </rPh>
    <rPh sb="6" eb="8">
      <t>スウシキ</t>
    </rPh>
    <phoneticPr fontId="2"/>
  </si>
  <si>
    <t>未就学児</t>
    <phoneticPr fontId="2"/>
  </si>
  <si>
    <t>納付額の特徴表示 
    なしにする</t>
    <rPh sb="0" eb="2">
      <t>ノウフ</t>
    </rPh>
    <rPh sb="2" eb="3">
      <t>ガク</t>
    </rPh>
    <rPh sb="4" eb="6">
      <t>トクチョウ</t>
    </rPh>
    <rPh sb="6" eb="8">
      <t>ヒョウジ</t>
    </rPh>
    <phoneticPr fontId="2"/>
  </si>
  <si>
    <t>来年度用試算</t>
    <rPh sb="0" eb="3">
      <t>ライネンド</t>
    </rPh>
    <rPh sb="3" eb="4">
      <t>ヨウ</t>
    </rPh>
    <rPh sb="4" eb="6">
      <t>シサン</t>
    </rPh>
    <phoneticPr fontId="2"/>
  </si>
  <si>
    <r>
      <t>◎</t>
    </r>
    <r>
      <rPr>
        <b/>
        <sz val="11"/>
        <rFont val="BIZ UDゴシック"/>
        <family val="3"/>
        <charset val="128"/>
      </rPr>
      <t>賦課期日</t>
    </r>
    <rPh sb="1" eb="3">
      <t>フカ</t>
    </rPh>
    <rPh sb="3" eb="5">
      <t>キジツ</t>
    </rPh>
    <phoneticPr fontId="2"/>
  </si>
  <si>
    <r>
      <t>※試算シートの所得割は、（</t>
    </r>
    <r>
      <rPr>
        <u/>
        <sz val="9"/>
        <color rgb="FFFF0000"/>
        <rFont val="BIZ UD明朝 Medium"/>
        <family val="1"/>
        <charset val="128"/>
      </rPr>
      <t>世帯所得合算-控除</t>
    </r>
    <r>
      <rPr>
        <sz val="9"/>
        <color rgb="FFFF0000"/>
        <rFont val="BIZ UD明朝 Medium"/>
        <family val="1"/>
        <charset val="128"/>
      </rPr>
      <t>）×料率＝保険料額　で表示しているため、各被保険者ごとに控除して計算すた合計額と比べると、端数の差額が出る場合があります。</t>
    </r>
    <rPh sb="1" eb="3">
      <t>シサン</t>
    </rPh>
    <rPh sb="7" eb="9">
      <t>ショトク</t>
    </rPh>
    <rPh sb="9" eb="10">
      <t>ワリ</t>
    </rPh>
    <rPh sb="13" eb="15">
      <t>セタイ</t>
    </rPh>
    <rPh sb="15" eb="17">
      <t>ショトク</t>
    </rPh>
    <rPh sb="17" eb="19">
      <t>ガッサン</t>
    </rPh>
    <rPh sb="20" eb="22">
      <t>コウジョ</t>
    </rPh>
    <rPh sb="24" eb="26">
      <t>リョウリツ</t>
    </rPh>
    <rPh sb="27" eb="30">
      <t>ホケンリョウ</t>
    </rPh>
    <rPh sb="30" eb="31">
      <t>ガク</t>
    </rPh>
    <rPh sb="33" eb="35">
      <t>ヒョウジ</t>
    </rPh>
    <rPh sb="42" eb="43">
      <t>カク</t>
    </rPh>
    <rPh sb="43" eb="47">
      <t>ヒホケンシャ</t>
    </rPh>
    <rPh sb="50" eb="52">
      <t>コウジョ</t>
    </rPh>
    <rPh sb="54" eb="56">
      <t>ケイサン</t>
    </rPh>
    <rPh sb="58" eb="60">
      <t>ゴウケイ</t>
    </rPh>
    <rPh sb="60" eb="61">
      <t>ガク</t>
    </rPh>
    <rPh sb="62" eb="63">
      <t>クラ</t>
    </rPh>
    <rPh sb="67" eb="69">
      <t>ハスウ</t>
    </rPh>
    <rPh sb="68" eb="69">
      <t>アイバ</t>
    </rPh>
    <rPh sb="70" eb="72">
      <t>サガク</t>
    </rPh>
    <rPh sb="73" eb="74">
      <t>デ</t>
    </rPh>
    <rPh sb="75" eb="77">
      <t>バアイ</t>
    </rPh>
    <phoneticPr fontId="2"/>
  </si>
  <si>
    <t>加入者一人ひとりの「前年中の総所得金額-43万円」の合計×料率</t>
    <rPh sb="0" eb="3">
      <t>カニュウシャ</t>
    </rPh>
    <rPh sb="3" eb="5">
      <t>ヒトリ</t>
    </rPh>
    <rPh sb="4" eb="5">
      <t>ニン</t>
    </rPh>
    <rPh sb="10" eb="13">
      <t>ゼンネンチュウ</t>
    </rPh>
    <rPh sb="14" eb="17">
      <t>ソウショトク</t>
    </rPh>
    <rPh sb="17" eb="19">
      <t>キンガク</t>
    </rPh>
    <rPh sb="22" eb="24">
      <t>マンエン</t>
    </rPh>
    <rPh sb="26" eb="28">
      <t>ゴウケイ</t>
    </rPh>
    <rPh sb="29" eb="31">
      <t>リョウリツ</t>
    </rPh>
    <phoneticPr fontId="2"/>
  </si>
  <si>
    <t>世帯員①</t>
    <rPh sb="0" eb="2">
      <t>セタイ</t>
    </rPh>
    <rPh sb="2" eb="3">
      <t>イン</t>
    </rPh>
    <phoneticPr fontId="2"/>
  </si>
  <si>
    <t>世帯員①</t>
    <rPh sb="0" eb="3">
      <t>セタイイン</t>
    </rPh>
    <phoneticPr fontId="2"/>
  </si>
  <si>
    <t>世帯員①所得</t>
    <rPh sb="0" eb="3">
      <t>セタイイン</t>
    </rPh>
    <rPh sb="4" eb="6">
      <t>ショトク</t>
    </rPh>
    <phoneticPr fontId="2"/>
  </si>
  <si>
    <r>
      <rPr>
        <b/>
        <sz val="11"/>
        <rFont val="BIZ UD明朝 Medium"/>
        <family val="1"/>
        <charset val="128"/>
      </rPr>
      <t xml:space="preserve">  </t>
    </r>
    <r>
      <rPr>
        <b/>
        <u/>
        <sz val="11"/>
        <rFont val="BIZ UD明朝 Medium"/>
        <family val="1"/>
        <charset val="128"/>
      </rPr>
      <t>実際の国民健康保険料は大幅に</t>
    </r>
    <r>
      <rPr>
        <b/>
        <u/>
        <sz val="16"/>
        <rFont val="BIZ UD明朝 Medium"/>
        <family val="1"/>
        <charset val="128"/>
      </rPr>
      <t>変更となる場合があります。</t>
    </r>
    <phoneticPr fontId="2"/>
  </si>
  <si>
    <t>世帯員①</t>
    <phoneticPr fontId="2"/>
  </si>
  <si>
    <t>源泉徴収票</t>
    <rPh sb="0" eb="5">
      <t>ゲンセンチョウシュウヒョウ</t>
    </rPh>
    <phoneticPr fontId="2"/>
  </si>
  <si>
    <t>確定申告書</t>
    <rPh sb="0" eb="2">
      <t>カクテイ</t>
    </rPh>
    <rPh sb="2" eb="5">
      <t>シンコクショ</t>
    </rPh>
    <phoneticPr fontId="2"/>
  </si>
  <si>
    <t>住民税照会　　</t>
  </si>
  <si>
    <t>なし</t>
    <phoneticPr fontId="2"/>
  </si>
  <si>
    <t>令和7年度　長岡京市　国民健康保険料　試算シート</t>
    <rPh sb="0" eb="2">
      <t>レイワ</t>
    </rPh>
    <rPh sb="3" eb="5">
      <t>ネンド</t>
    </rPh>
    <rPh sb="6" eb="9">
      <t>ナガオカキョウ</t>
    </rPh>
    <rPh sb="9" eb="10">
      <t>シ</t>
    </rPh>
    <rPh sb="11" eb="18">
      <t>コクミンケンコウホケンリョウ</t>
    </rPh>
    <rPh sb="19" eb="21">
      <t>シサン</t>
    </rPh>
    <phoneticPr fontId="59"/>
  </si>
  <si>
    <t>「給与所得」は源泉徴収票の、給与所得控除後の金額をご確認ください。</t>
    <rPh sb="1" eb="3">
      <t>キュウヨ</t>
    </rPh>
    <rPh sb="3" eb="5">
      <t>ショトク</t>
    </rPh>
    <rPh sb="7" eb="9">
      <t>ゲンセン</t>
    </rPh>
    <rPh sb="9" eb="12">
      <t>チョウシュウヒョウ</t>
    </rPh>
    <rPh sb="14" eb="16">
      <t>キュウヨ</t>
    </rPh>
    <rPh sb="16" eb="18">
      <t>ショトク</t>
    </rPh>
    <rPh sb="18" eb="20">
      <t>コウジョ</t>
    </rPh>
    <rPh sb="20" eb="21">
      <t>アト</t>
    </rPh>
    <rPh sb="22" eb="24">
      <t>キンガク</t>
    </rPh>
    <rPh sb="26" eb="28">
      <t>カクニン</t>
    </rPh>
    <phoneticPr fontId="2"/>
  </si>
  <si>
    <t>●</t>
    <phoneticPr fontId="59"/>
  </si>
  <si>
    <t>この保険料額の計算は、あくまで概算額での試算となります。実際の保険料額とは異なる場合があります。</t>
    <rPh sb="4" eb="5">
      <t>リョウ</t>
    </rPh>
    <rPh sb="33" eb="34">
      <t>リョウ</t>
    </rPh>
    <phoneticPr fontId="65"/>
  </si>
  <si>
    <t>加入する</t>
    <rPh sb="0" eb="2">
      <t>カニュウ</t>
    </rPh>
    <phoneticPr fontId="2"/>
  </si>
  <si>
    <t>次のいずれかに該当される方が世帯に含まれる場合は、正確な保険料額が計算されないことがあります。</t>
    <rPh sb="0" eb="1">
      <t>ツギ</t>
    </rPh>
    <rPh sb="7" eb="9">
      <t>ガイトウ</t>
    </rPh>
    <rPh sb="12" eb="13">
      <t>カタ</t>
    </rPh>
    <rPh sb="14" eb="16">
      <t>セタイ</t>
    </rPh>
    <rPh sb="17" eb="18">
      <t>フク</t>
    </rPh>
    <rPh sb="21" eb="23">
      <t>バアイ</t>
    </rPh>
    <rPh sb="25" eb="27">
      <t>セイカク</t>
    </rPh>
    <rPh sb="28" eb="31">
      <t>ホケンリョウ</t>
    </rPh>
    <rPh sb="31" eb="32">
      <t>ガク</t>
    </rPh>
    <rPh sb="33" eb="35">
      <t>ケイサン</t>
    </rPh>
    <phoneticPr fontId="2"/>
  </si>
  <si>
    <t>加入しない</t>
    <rPh sb="0" eb="2">
      <t>カニュウ</t>
    </rPh>
    <phoneticPr fontId="2"/>
  </si>
  <si>
    <t>.</t>
    <phoneticPr fontId="59"/>
  </si>
  <si>
    <t>年度途中で４０歳、６５歳または７５歳に到達する方</t>
    <rPh sb="7" eb="8">
      <t>サイ</t>
    </rPh>
    <rPh sb="11" eb="12">
      <t>サイ</t>
    </rPh>
    <rPh sb="17" eb="18">
      <t>サイ</t>
    </rPh>
    <rPh sb="19" eb="21">
      <t>トウタツ</t>
    </rPh>
    <rPh sb="23" eb="24">
      <t>カタ</t>
    </rPh>
    <phoneticPr fontId="2"/>
  </si>
  <si>
    <t>↑試算シートリスト</t>
    <rPh sb="1" eb="3">
      <t>シサン</t>
    </rPh>
    <phoneticPr fontId="2"/>
  </si>
  <si>
    <t>年度途中に加入・脱退した方</t>
  </si>
  <si>
    <t>特定同一世帯所属者の方</t>
  </si>
  <si>
    <t>専従者控除がある方、または専従者給与にかかる所得がある方</t>
  </si>
  <si>
    <t>分離課税所得（土地・株式の譲渡所得等）や繰越損失がある方</t>
  </si>
  <si>
    <t>下記の情報を入力をしてください。算出結果はこのシートの下に表示されます。</t>
    <rPh sb="0" eb="2">
      <t>カキ</t>
    </rPh>
    <rPh sb="3" eb="5">
      <t>ジョウホウ</t>
    </rPh>
    <rPh sb="6" eb="8">
      <t>ニュウリョク</t>
    </rPh>
    <rPh sb="16" eb="18">
      <t>サンシュツ</t>
    </rPh>
    <rPh sb="18" eb="20">
      <t>ケッカ</t>
    </rPh>
    <rPh sb="27" eb="28">
      <t>シタ</t>
    </rPh>
    <rPh sb="29" eb="31">
      <t>ヒョウジ</t>
    </rPh>
    <phoneticPr fontId="59"/>
  </si>
  <si>
    <t>(入力する部分は</t>
  </si>
  <si>
    <t>です）</t>
    <phoneticPr fontId="59"/>
  </si>
  <si>
    <t>確定申告されている方は、所得金額等の欄をご確認ください。</t>
    <rPh sb="0" eb="2">
      <t>カクテイ</t>
    </rPh>
    <rPh sb="2" eb="4">
      <t>シンコク</t>
    </rPh>
    <rPh sb="9" eb="10">
      <t>カタ</t>
    </rPh>
    <rPh sb="12" eb="14">
      <t>ショトク</t>
    </rPh>
    <rPh sb="14" eb="16">
      <t>キンガク</t>
    </rPh>
    <rPh sb="16" eb="17">
      <t>ナド</t>
    </rPh>
    <rPh sb="18" eb="19">
      <t>ラン</t>
    </rPh>
    <rPh sb="21" eb="23">
      <t>カクニン</t>
    </rPh>
    <phoneticPr fontId="2"/>
  </si>
  <si>
    <t>世帯主</t>
    <rPh sb="0" eb="3">
      <t>セタイヌシ</t>
    </rPh>
    <phoneticPr fontId="59"/>
  </si>
  <si>
    <t>世帯員１</t>
    <rPh sb="0" eb="2">
      <t>セタイ</t>
    </rPh>
    <rPh sb="2" eb="3">
      <t>イン</t>
    </rPh>
    <phoneticPr fontId="59"/>
  </si>
  <si>
    <t>世帯員２</t>
    <rPh sb="0" eb="2">
      <t>セタイ</t>
    </rPh>
    <rPh sb="2" eb="3">
      <t>イン</t>
    </rPh>
    <phoneticPr fontId="59"/>
  </si>
  <si>
    <t>世帯員３</t>
    <rPh sb="0" eb="2">
      <t>セタイ</t>
    </rPh>
    <rPh sb="2" eb="3">
      <t>イン</t>
    </rPh>
    <phoneticPr fontId="59"/>
  </si>
  <si>
    <t>世帯員４</t>
    <rPh sb="0" eb="2">
      <t>セタイ</t>
    </rPh>
    <rPh sb="2" eb="3">
      <t>イン</t>
    </rPh>
    <phoneticPr fontId="59"/>
  </si>
  <si>
    <t>「給与所得」「公的年金所得」以外の所得が複数ある場合は、「その他所得」に合算して入力してください。</t>
    <rPh sb="1" eb="3">
      <t>キュウヨ</t>
    </rPh>
    <rPh sb="3" eb="5">
      <t>ショトク</t>
    </rPh>
    <rPh sb="7" eb="9">
      <t>コウテキ</t>
    </rPh>
    <rPh sb="9" eb="11">
      <t>ネンキン</t>
    </rPh>
    <rPh sb="11" eb="13">
      <t>ショトク</t>
    </rPh>
    <rPh sb="14" eb="16">
      <t>イガイ</t>
    </rPh>
    <rPh sb="17" eb="19">
      <t>ショトク</t>
    </rPh>
    <rPh sb="20" eb="22">
      <t>フクスウ</t>
    </rPh>
    <rPh sb="24" eb="26">
      <t>バアイ</t>
    </rPh>
    <rPh sb="31" eb="32">
      <t>タ</t>
    </rPh>
    <rPh sb="32" eb="34">
      <t>ショトク</t>
    </rPh>
    <rPh sb="36" eb="38">
      <t>ガッサン</t>
    </rPh>
    <rPh sb="40" eb="42">
      <t>ニュウリョク</t>
    </rPh>
    <phoneticPr fontId="2"/>
  </si>
  <si>
    <t>①</t>
    <phoneticPr fontId="59"/>
  </si>
  <si>
    <t>国民健康保険加入の状況</t>
    <rPh sb="0" eb="2">
      <t>コクミン</t>
    </rPh>
    <rPh sb="2" eb="4">
      <t>ケンコウ</t>
    </rPh>
    <rPh sb="4" eb="6">
      <t>ホケン</t>
    </rPh>
    <rPh sb="6" eb="8">
      <t>カニュウ</t>
    </rPh>
    <rPh sb="9" eb="11">
      <t>ジョウキョウ</t>
    </rPh>
    <phoneticPr fontId="59"/>
  </si>
  <si>
    <t>②</t>
    <phoneticPr fontId="59"/>
  </si>
  <si>
    <t>年齢区分</t>
    <rPh sb="0" eb="2">
      <t>ネンレイ</t>
    </rPh>
    <rPh sb="2" eb="4">
      <t>クブン</t>
    </rPh>
    <phoneticPr fontId="59"/>
  </si>
  <si>
    <t>③</t>
    <phoneticPr fontId="59"/>
  </si>
  <si>
    <t>　　所得の状況について</t>
    <rPh sb="2" eb="4">
      <t>ショトク</t>
    </rPh>
    <rPh sb="5" eb="7">
      <t>ジョウキョウ</t>
    </rPh>
    <phoneticPr fontId="59"/>
  </si>
  <si>
    <t>給与所得</t>
    <rPh sb="0" eb="2">
      <t>キュウヨ</t>
    </rPh>
    <rPh sb="2" eb="4">
      <t>ショトク</t>
    </rPh>
    <phoneticPr fontId="59"/>
  </si>
  <si>
    <t>公的年金所得</t>
    <rPh sb="0" eb="2">
      <t>コウテキ</t>
    </rPh>
    <rPh sb="2" eb="4">
      <t>ネンキン</t>
    </rPh>
    <rPh sb="4" eb="6">
      <t>ショトク</t>
    </rPh>
    <phoneticPr fontId="59"/>
  </si>
  <si>
    <t>その他所得</t>
    <rPh sb="2" eb="3">
      <t>ホカ</t>
    </rPh>
    <rPh sb="3" eb="5">
      <t>ショトク</t>
    </rPh>
    <phoneticPr fontId="59"/>
  </si>
  <si>
    <t>合計</t>
    <rPh sb="0" eb="2">
      <t>ゴウケイ</t>
    </rPh>
    <phoneticPr fontId="59"/>
  </si>
  <si>
    <t>「①国民健康保険加入の状況」について</t>
    <phoneticPr fontId="59"/>
  </si>
  <si>
    <t>世帯主の所得は国民健康保険に加入していなくても保険料軽減の判定に影響します。</t>
    <phoneticPr fontId="59"/>
  </si>
  <si>
    <t>国民健康保険に加入する場合には「加入する」、加入しない場合には「加入しない」を選択してください。</t>
    <rPh sb="0" eb="2">
      <t>コクミン</t>
    </rPh>
    <rPh sb="2" eb="4">
      <t>ケンコウ</t>
    </rPh>
    <rPh sb="4" eb="6">
      <t>ホケン</t>
    </rPh>
    <rPh sb="7" eb="9">
      <t>カニュウ</t>
    </rPh>
    <rPh sb="11" eb="13">
      <t>バアイ</t>
    </rPh>
    <rPh sb="16" eb="18">
      <t>カニュウ</t>
    </rPh>
    <rPh sb="22" eb="24">
      <t>カニュウ</t>
    </rPh>
    <rPh sb="27" eb="29">
      <t>バアイ</t>
    </rPh>
    <rPh sb="32" eb="34">
      <t>カニュウ</t>
    </rPh>
    <rPh sb="39" eb="41">
      <t>センタク</t>
    </rPh>
    <phoneticPr fontId="59"/>
  </si>
  <si>
    <t>「②年齢区分」について</t>
    <rPh sb="2" eb="4">
      <t>ネンレイ</t>
    </rPh>
    <rPh sb="4" eb="6">
      <t>クブン</t>
    </rPh>
    <phoneticPr fontId="59"/>
  </si>
  <si>
    <t>令和7年４月１日時点の年齢区分を選択してください。</t>
    <rPh sb="0" eb="2">
      <t>レイワ</t>
    </rPh>
    <rPh sb="3" eb="4">
      <t>ネン</t>
    </rPh>
    <rPh sb="5" eb="6">
      <t>ガツ</t>
    </rPh>
    <rPh sb="7" eb="8">
      <t>ニチ</t>
    </rPh>
    <rPh sb="8" eb="10">
      <t>ジテン</t>
    </rPh>
    <rPh sb="11" eb="13">
      <t>ネンレイ</t>
    </rPh>
    <rPh sb="13" eb="15">
      <t>クブン</t>
    </rPh>
    <rPh sb="16" eb="18">
      <t>センタク</t>
    </rPh>
    <phoneticPr fontId="59"/>
  </si>
  <si>
    <t>小学校入学前の子どもは未就学児を選択してください。</t>
    <rPh sb="0" eb="3">
      <t>ショウガッコウ</t>
    </rPh>
    <rPh sb="3" eb="6">
      <t>ニュウガクマエ</t>
    </rPh>
    <rPh sb="7" eb="8">
      <t>コ</t>
    </rPh>
    <rPh sb="11" eb="15">
      <t>ミシュウガクジ</t>
    </rPh>
    <rPh sb="16" eb="18">
      <t>センタク</t>
    </rPh>
    <phoneticPr fontId="59"/>
  </si>
  <si>
    <t>「③所得状況について」について</t>
    <rPh sb="2" eb="4">
      <t>ショトク</t>
    </rPh>
    <rPh sb="4" eb="6">
      <t>ジョウキョウ</t>
    </rPh>
    <phoneticPr fontId="59"/>
  </si>
  <si>
    <r>
      <rPr>
        <b/>
        <sz val="10"/>
        <color theme="1"/>
        <rFont val="メイリオ"/>
        <family val="3"/>
        <charset val="128"/>
      </rPr>
      <t>令和6年中</t>
    </r>
    <r>
      <rPr>
        <sz val="10"/>
        <color theme="1"/>
        <rFont val="メイリオ"/>
        <family val="3"/>
        <charset val="128"/>
      </rPr>
      <t>の所得金額を「給与所得」「公的年金所得」「その他所得」に分け入力してください。</t>
    </r>
    <rPh sb="0" eb="2">
      <t>レイワ</t>
    </rPh>
    <rPh sb="3" eb="4">
      <t>ネン</t>
    </rPh>
    <rPh sb="4" eb="5">
      <t>チュウ</t>
    </rPh>
    <rPh sb="6" eb="8">
      <t>ショトク</t>
    </rPh>
    <rPh sb="8" eb="10">
      <t>キンガク</t>
    </rPh>
    <rPh sb="12" eb="14">
      <t>キュウヨ</t>
    </rPh>
    <rPh sb="14" eb="16">
      <t>ショトク</t>
    </rPh>
    <rPh sb="18" eb="20">
      <t>コウテキ</t>
    </rPh>
    <rPh sb="20" eb="22">
      <t>ネンキン</t>
    </rPh>
    <rPh sb="22" eb="24">
      <t>ショトク</t>
    </rPh>
    <rPh sb="28" eb="29">
      <t>タ</t>
    </rPh>
    <rPh sb="29" eb="31">
      <t>ショトク</t>
    </rPh>
    <rPh sb="33" eb="34">
      <t>ワ</t>
    </rPh>
    <rPh sb="35" eb="37">
      <t>ニュウリョク</t>
    </rPh>
    <phoneticPr fontId="59"/>
  </si>
  <si>
    <t>※</t>
    <phoneticPr fontId="59"/>
  </si>
  <si>
    <t>退職所得、傷病手当金、失業手当、遺族・障害年金は算定対象になりません。</t>
    <phoneticPr fontId="59"/>
  </si>
  <si>
    <t>保険料試算結果</t>
    <rPh sb="0" eb="3">
      <t>ホケンリョウ</t>
    </rPh>
    <rPh sb="3" eb="5">
      <t>シサン</t>
    </rPh>
    <rPh sb="5" eb="7">
      <t>ケッカ</t>
    </rPh>
    <phoneticPr fontId="59"/>
  </si>
  <si>
    <t>この試算は、加入人数</t>
    <rPh sb="2" eb="4">
      <t>シサン</t>
    </rPh>
    <rPh sb="6" eb="8">
      <t>カニュウ</t>
    </rPh>
    <rPh sb="8" eb="10">
      <t>ニンズウ</t>
    </rPh>
    <phoneticPr fontId="59"/>
  </si>
  <si>
    <t>人、</t>
    <rPh sb="0" eb="1">
      <t>ヒト</t>
    </rPh>
    <phoneticPr fontId="2"/>
  </si>
  <si>
    <t>で計算しています。</t>
    <rPh sb="1" eb="3">
      <t>ケイサン</t>
    </rPh>
    <phoneticPr fontId="59"/>
  </si>
  <si>
    <t>医療分保険料</t>
    <rPh sb="0" eb="2">
      <t>イリョウ</t>
    </rPh>
    <rPh sb="2" eb="3">
      <t>ブン</t>
    </rPh>
    <rPh sb="3" eb="6">
      <t>ホケンリョウ</t>
    </rPh>
    <phoneticPr fontId="59"/>
  </si>
  <si>
    <t>円</t>
    <rPh sb="0" eb="1">
      <t>エ</t>
    </rPh>
    <phoneticPr fontId="59"/>
  </si>
  <si>
    <t>保険料の月額</t>
    <rPh sb="0" eb="3">
      <t>ホケンリョウ</t>
    </rPh>
    <rPh sb="4" eb="6">
      <t>ゲツガク</t>
    </rPh>
    <phoneticPr fontId="2"/>
  </si>
  <si>
    <t>支援金分保険料</t>
    <rPh sb="0" eb="3">
      <t>シエンキン</t>
    </rPh>
    <rPh sb="3" eb="4">
      <t>ブン</t>
    </rPh>
    <rPh sb="4" eb="7">
      <t>ホケンリョウ</t>
    </rPh>
    <phoneticPr fontId="59"/>
  </si>
  <si>
    <t>介護分保険料</t>
    <rPh sb="0" eb="2">
      <t>カイゴ</t>
    </rPh>
    <rPh sb="2" eb="3">
      <t>ブン</t>
    </rPh>
    <rPh sb="3" eb="6">
      <t>ホケンリョウ</t>
    </rPh>
    <phoneticPr fontId="59"/>
  </si>
  <si>
    <t xml:space="preserve"> ※国民健康保険料は、「年10回払い」で納付していただきます</t>
    <phoneticPr fontId="2"/>
  </si>
  <si>
    <t>合計（①+②+③）</t>
    <rPh sb="0" eb="2">
      <t>ゴウケイ</t>
    </rPh>
    <phoneticPr fontId="59"/>
  </si>
  <si>
    <t>　１か月あたりの保険料でご請求はしませんので、ご注意ください。</t>
  </si>
  <si>
    <t>令和7年4月～令和8年3月の1年間の保険料額です。</t>
    <rPh sb="0" eb="2">
      <t>レイワ</t>
    </rPh>
    <rPh sb="7" eb="9">
      <t>レイワ</t>
    </rPh>
    <rPh sb="15" eb="17">
      <t>ネンカン</t>
    </rPh>
    <rPh sb="18" eb="21">
      <t>ホケンリョウ</t>
    </rPh>
    <rPh sb="21" eb="22">
      <t>ガク</t>
    </rPh>
    <phoneticPr fontId="59"/>
  </si>
  <si>
    <t>年度途中から加入する方は上記金額を12で割り加入する月から令和8年3月までの月数を乗じた額が保険料額です。</t>
    <rPh sb="0" eb="2">
      <t>ネンド</t>
    </rPh>
    <rPh sb="2" eb="4">
      <t>トチュウ</t>
    </rPh>
    <rPh sb="6" eb="8">
      <t>カニュウ</t>
    </rPh>
    <rPh sb="10" eb="11">
      <t>カタ</t>
    </rPh>
    <rPh sb="12" eb="14">
      <t>ジョウキ</t>
    </rPh>
    <rPh sb="14" eb="16">
      <t>キンガク</t>
    </rPh>
    <rPh sb="20" eb="21">
      <t>ワ</t>
    </rPh>
    <rPh sb="22" eb="24">
      <t>カニュウ</t>
    </rPh>
    <rPh sb="26" eb="27">
      <t>ツキ</t>
    </rPh>
    <rPh sb="29" eb="31">
      <t>レイワ</t>
    </rPh>
    <rPh sb="32" eb="33">
      <t>ネン</t>
    </rPh>
    <rPh sb="34" eb="35">
      <t>ガツ</t>
    </rPh>
    <rPh sb="38" eb="39">
      <t>ツキ</t>
    </rPh>
    <rPh sb="39" eb="40">
      <t>スウ</t>
    </rPh>
    <rPh sb="41" eb="42">
      <t>ジョウ</t>
    </rPh>
    <rPh sb="44" eb="45">
      <t>ガク</t>
    </rPh>
    <rPh sb="46" eb="49">
      <t>ホケンリョウ</t>
    </rPh>
    <rPh sb="49" eb="50">
      <t>ガク</t>
    </rPh>
    <phoneticPr fontId="59"/>
  </si>
  <si>
    <t>65歳以上の方の介護保険料は国民健康保険料と別途納めていただきます。</t>
    <rPh sb="2" eb="3">
      <t>サイ</t>
    </rPh>
    <rPh sb="3" eb="5">
      <t>イジョウ</t>
    </rPh>
    <rPh sb="6" eb="7">
      <t>カタ</t>
    </rPh>
    <rPh sb="8" eb="10">
      <t>カイゴ</t>
    </rPh>
    <rPh sb="10" eb="13">
      <t>ホケンリョウ</t>
    </rPh>
    <rPh sb="14" eb="16">
      <t>コクミン</t>
    </rPh>
    <rPh sb="20" eb="21">
      <t>リョウ</t>
    </rPh>
    <rPh sb="22" eb="24">
      <t>ベット</t>
    </rPh>
    <rPh sb="24" eb="25">
      <t>オサ</t>
    </rPh>
    <phoneticPr fontId="59"/>
  </si>
  <si>
    <t>→</t>
    <phoneticPr fontId="2"/>
  </si>
  <si>
    <t>予備</t>
    <rPh sb="0" eb="2">
      <t>ヨビ</t>
    </rPh>
    <phoneticPr fontId="2"/>
  </si>
  <si>
    <t>↓※使用する際は参照先の数式変更要！！（上記の年齢リスト参照）</t>
    <rPh sb="2" eb="4">
      <t>シヨウ</t>
    </rPh>
    <rPh sb="6" eb="7">
      <t>サイ</t>
    </rPh>
    <rPh sb="8" eb="10">
      <t>サンショウ</t>
    </rPh>
    <rPh sb="10" eb="11">
      <t>サキ</t>
    </rPh>
    <rPh sb="12" eb="14">
      <t>スウシキ</t>
    </rPh>
    <rPh sb="14" eb="16">
      <t>ヘンコウ</t>
    </rPh>
    <rPh sb="16" eb="17">
      <t>ヨウ</t>
    </rPh>
    <rPh sb="20" eb="22">
      <t>ジョウキ</t>
    </rPh>
    <rPh sb="23" eb="25">
      <t>ネンレイ</t>
    </rPh>
    <rPh sb="28" eb="3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</si>
</sst>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176" formatCode="#,##0_ ;[Red]\-#,##0\ "/>
    <numFmt numFmtId="177" formatCode="0_);[Red]\(0\)"/>
    <numFmt numFmtId="178" formatCode="0.0000_);[Red]\(0.0000\)"/>
    <numFmt numFmtId="179" formatCode="0.00_);[Red]\(0.00\)"/>
    <numFmt numFmtId="180" formatCode="#,##0_);[Red]\(#,##0\)"/>
    <numFmt numFmtId="181" formatCode="#,##0_ "/>
    <numFmt numFmtId="182" formatCode="#,##0;&quot;▲ &quot;#,##0"/>
    <numFmt numFmtId="183" formatCode="0.00_ "/>
    <numFmt numFmtId="184" formatCode="#,###&quot;　円&quot;"/>
    <numFmt numFmtId="185" formatCode="[$-411]ge\.m\.d;@"/>
    <numFmt numFmtId="186" formatCode="#,###&quot; 回払い&quot;"/>
    <numFmt numFmtId="187" formatCode="#&quot; 人&quot;"/>
    <numFmt numFmtId="188" formatCode="0&quot; 人&quot;"/>
    <numFmt numFmtId="189" formatCode="#,##0&quot; 円&quot;"/>
    <numFmt numFmtId="190" formatCode="#,###&quot; か月分&quot;"/>
    <numFmt numFmtId="191" formatCode="\(##&quot;月&quot;\)"/>
    <numFmt numFmtId="192" formatCode="&quot;令&quot;&quot;和&quot;##&quot;年&quot;&quot;度&quot;&quot;保&quot;&quot;険&quot;&quot;料&quot;&quot;率&quot;"/>
    <numFmt numFmtId="193" formatCode="ge&quot;年度試算&quot;"/>
    <numFmt numFmtId="194" formatCode="&quot;令&quot;&quot;和&quot;e&quot;年&quot;&quot;度&quot;&quot;国&quot;&quot;民&quot;&quot;健&quot;&quot;康&quot;&quot;保&quot;&quot;険&quot;&quot;料&quot;&quot;試&quot;&quot;算&quot;"/>
    <numFmt numFmtId="195" formatCode="\※&quot;こ&quot;&quot;の&quot;&quot;計&quot;&quot;算&quot;&quot;書&quot;&quot;は、令&quot;&quot;和&quot;##&quot;年&quot;&quot;度&quot;&quot;の&quot;&quot;料&quot;&quot;率&quot;&quot;に&quot;&quot;基&quot;&quot;づ&quot;&quot;い&quot;&quot;た&quot;&quot;試&quot;&quot;算&quot;&quot;で&quot;&quot;す。&quot;"/>
  </numFmts>
  <fonts count="70">
    <font>
      <sz val="11"/>
      <name val="ＭＳ Ｐゴシック"/>
      <family val="3"/>
      <charset val="128"/>
    </font>
    <font>
      <sz val="11"/>
      <name val="ＭＳ Ｐゴシック"/>
      <family val="3"/>
      <charset val="128"/>
    </font>
    <font>
      <sz val="6"/>
      <name val="ＭＳ Ｐゴシック"/>
      <family val="3"/>
      <charset val="128"/>
    </font>
    <font>
      <b/>
      <sz val="9"/>
      <color indexed="81"/>
      <name val="MS P ゴシック"/>
      <family val="3"/>
      <charset val="128"/>
    </font>
    <font>
      <sz val="11"/>
      <color theme="1"/>
      <name val="ＭＳ Ｐゴシック"/>
      <family val="2"/>
      <scheme val="minor"/>
    </font>
    <font>
      <sz val="9"/>
      <color indexed="81"/>
      <name val="BIZ UDゴシック"/>
      <family val="3"/>
      <charset val="128"/>
    </font>
    <font>
      <b/>
      <sz val="14"/>
      <name val="BIZ UD明朝 Medium"/>
      <family val="1"/>
      <charset val="128"/>
    </font>
    <font>
      <b/>
      <sz val="9"/>
      <color indexed="12"/>
      <name val="BIZ UD明朝 Medium"/>
      <family val="1"/>
      <charset val="128"/>
    </font>
    <font>
      <sz val="11"/>
      <name val="BIZ UD明朝 Medium"/>
      <family val="1"/>
      <charset val="128"/>
    </font>
    <font>
      <sz val="13"/>
      <name val="BIZ UD明朝 Medium"/>
      <family val="1"/>
      <charset val="128"/>
    </font>
    <font>
      <sz val="10"/>
      <color indexed="53"/>
      <name val="BIZ UD明朝 Medium"/>
      <family val="1"/>
      <charset val="128"/>
    </font>
    <font>
      <sz val="9"/>
      <name val="BIZ UD明朝 Medium"/>
      <family val="1"/>
      <charset val="128"/>
    </font>
    <font>
      <b/>
      <sz val="10"/>
      <color indexed="12"/>
      <name val="BIZ UD明朝 Medium"/>
      <family val="1"/>
      <charset val="128"/>
    </font>
    <font>
      <sz val="10"/>
      <name val="BIZ UD明朝 Medium"/>
      <family val="1"/>
      <charset val="128"/>
    </font>
    <font>
      <b/>
      <sz val="12"/>
      <name val="BIZ UD明朝 Medium"/>
      <family val="1"/>
      <charset val="128"/>
    </font>
    <font>
      <b/>
      <sz val="11"/>
      <color indexed="12"/>
      <name val="BIZ UD明朝 Medium"/>
      <family val="1"/>
      <charset val="128"/>
    </font>
    <font>
      <b/>
      <sz val="11"/>
      <name val="BIZ UD明朝 Medium"/>
      <family val="1"/>
      <charset val="128"/>
    </font>
    <font>
      <sz val="8"/>
      <name val="BIZ UD明朝 Medium"/>
      <family val="1"/>
      <charset val="128"/>
    </font>
    <font>
      <sz val="10"/>
      <color indexed="10"/>
      <name val="BIZ UD明朝 Medium"/>
      <family val="1"/>
      <charset val="128"/>
    </font>
    <font>
      <sz val="9"/>
      <color indexed="10"/>
      <name val="BIZ UD明朝 Medium"/>
      <family val="1"/>
      <charset val="128"/>
    </font>
    <font>
      <sz val="12"/>
      <name val="BIZ UD明朝 Medium"/>
      <family val="1"/>
      <charset val="128"/>
    </font>
    <font>
      <b/>
      <sz val="9"/>
      <name val="BIZ UD明朝 Medium"/>
      <family val="1"/>
      <charset val="128"/>
    </font>
    <font>
      <sz val="9"/>
      <color rgb="FF3333FF"/>
      <name val="BIZ UD明朝 Medium"/>
      <family val="1"/>
      <charset val="128"/>
    </font>
    <font>
      <b/>
      <u/>
      <sz val="11"/>
      <name val="BIZ UD明朝 Medium"/>
      <family val="1"/>
      <charset val="128"/>
    </font>
    <font>
      <b/>
      <i/>
      <u/>
      <sz val="12"/>
      <name val="BIZ UD明朝 Medium"/>
      <family val="1"/>
      <charset val="128"/>
    </font>
    <font>
      <b/>
      <u/>
      <sz val="16"/>
      <name val="BIZ UD明朝 Medium"/>
      <family val="1"/>
      <charset val="128"/>
    </font>
    <font>
      <b/>
      <i/>
      <u/>
      <sz val="11"/>
      <name val="BIZ UD明朝 Medium"/>
      <family val="1"/>
      <charset val="128"/>
    </font>
    <font>
      <b/>
      <sz val="14"/>
      <color indexed="12"/>
      <name val="BIZ UD明朝 Medium"/>
      <family val="1"/>
      <charset val="128"/>
    </font>
    <font>
      <b/>
      <sz val="14"/>
      <name val="BIZ UDゴシック"/>
      <family val="3"/>
      <charset val="128"/>
    </font>
    <font>
      <sz val="10"/>
      <name val="BIZ UDゴシック"/>
      <family val="3"/>
      <charset val="128"/>
    </font>
    <font>
      <b/>
      <sz val="12"/>
      <name val="BIZ UDゴシック"/>
      <family val="3"/>
      <charset val="128"/>
    </font>
    <font>
      <b/>
      <sz val="10"/>
      <name val="BIZ UDゴシック"/>
      <family val="3"/>
      <charset val="128"/>
    </font>
    <font>
      <sz val="6"/>
      <name val="BIZ UD明朝 Medium"/>
      <family val="1"/>
      <charset val="128"/>
    </font>
    <font>
      <sz val="10"/>
      <color indexed="12"/>
      <name val="BIZ UD明朝 Medium"/>
      <family val="1"/>
      <charset val="128"/>
    </font>
    <font>
      <b/>
      <sz val="11"/>
      <name val="BIZ UDゴシック"/>
      <family val="3"/>
      <charset val="128"/>
    </font>
    <font>
      <sz val="9"/>
      <color rgb="FFFF0000"/>
      <name val="BIZ UD明朝 Medium"/>
      <family val="1"/>
      <charset val="128"/>
    </font>
    <font>
      <sz val="11"/>
      <name val="BIZ UDゴシック"/>
      <family val="3"/>
      <charset val="128"/>
    </font>
    <font>
      <sz val="9"/>
      <name val="BIZ UDゴシック"/>
      <family val="3"/>
      <charset val="128"/>
    </font>
    <font>
      <sz val="8"/>
      <name val="BIZ UDゴシック"/>
      <family val="3"/>
      <charset val="128"/>
    </font>
    <font>
      <sz val="16"/>
      <name val="BIZ UDゴシック"/>
      <family val="3"/>
      <charset val="128"/>
    </font>
    <font>
      <b/>
      <sz val="14"/>
      <color indexed="12"/>
      <name val="BIZ UDゴシック"/>
      <family val="3"/>
      <charset val="128"/>
    </font>
    <font>
      <b/>
      <sz val="12"/>
      <color indexed="12"/>
      <name val="BIZ UDゴシック"/>
      <family val="3"/>
      <charset val="128"/>
    </font>
    <font>
      <sz val="7.5"/>
      <name val="BIZ UDゴシック"/>
      <family val="3"/>
      <charset val="128"/>
    </font>
    <font>
      <sz val="8"/>
      <color indexed="12"/>
      <name val="BIZ UDゴシック"/>
      <family val="3"/>
      <charset val="128"/>
    </font>
    <font>
      <sz val="6"/>
      <color indexed="12"/>
      <name val="BIZ UDゴシック"/>
      <family val="3"/>
      <charset val="128"/>
    </font>
    <font>
      <b/>
      <sz val="11"/>
      <color indexed="10"/>
      <name val="BIZ UDゴシック"/>
      <family val="3"/>
      <charset val="128"/>
    </font>
    <font>
      <b/>
      <sz val="11"/>
      <color indexed="12"/>
      <name val="BIZ UDゴシック"/>
      <family val="3"/>
      <charset val="128"/>
    </font>
    <font>
      <b/>
      <sz val="10"/>
      <name val="BIZ UD明朝 Medium"/>
      <family val="1"/>
      <charset val="128"/>
    </font>
    <font>
      <b/>
      <sz val="13"/>
      <name val="BIZ UDゴシック"/>
      <family val="3"/>
      <charset val="128"/>
    </font>
    <font>
      <b/>
      <sz val="9"/>
      <name val="BIZ UDゴシック"/>
      <family val="3"/>
      <charset val="128"/>
    </font>
    <font>
      <sz val="7.5"/>
      <name val="BIZ UD明朝 Medium"/>
      <family val="1"/>
      <charset val="128"/>
    </font>
    <font>
      <b/>
      <sz val="6.5"/>
      <color indexed="12"/>
      <name val="BIZ UDゴシック"/>
      <family val="3"/>
      <charset val="128"/>
    </font>
    <font>
      <b/>
      <sz val="9"/>
      <color indexed="10"/>
      <name val="BIZ UDゴシック"/>
      <family val="3"/>
      <charset val="128"/>
    </font>
    <font>
      <b/>
      <sz val="7.5"/>
      <color rgb="FFFF0000"/>
      <name val="BIZ UD明朝 Medium"/>
      <family val="1"/>
      <charset val="128"/>
    </font>
    <font>
      <sz val="6"/>
      <name val="BIZ UDゴシック"/>
      <family val="3"/>
      <charset val="128"/>
    </font>
    <font>
      <sz val="6"/>
      <color theme="0" tint="-0.14999847407452621"/>
      <name val="BIZ UDゴシック"/>
      <family val="3"/>
      <charset val="128"/>
    </font>
    <font>
      <b/>
      <sz val="6"/>
      <color theme="0" tint="-0.14999847407452621"/>
      <name val="BIZ UDゴシック"/>
      <family val="3"/>
      <charset val="128"/>
    </font>
    <font>
      <u/>
      <sz val="9"/>
      <color rgb="FFFF0000"/>
      <name val="BIZ UD明朝 Medium"/>
      <family val="1"/>
      <charset val="128"/>
    </font>
    <font>
      <b/>
      <sz val="14"/>
      <color theme="0"/>
      <name val="BIZ UDPゴシック"/>
      <family val="3"/>
      <charset val="128"/>
    </font>
    <font>
      <sz val="6"/>
      <name val="ＭＳ Ｐゴシック"/>
      <family val="2"/>
      <charset val="128"/>
      <scheme val="minor"/>
    </font>
    <font>
      <sz val="11"/>
      <name val="メイリオ"/>
      <family val="3"/>
      <charset val="128"/>
    </font>
    <font>
      <sz val="10"/>
      <name val="メイリオ"/>
      <family val="3"/>
      <charset val="128"/>
    </font>
    <font>
      <sz val="10"/>
      <color theme="1"/>
      <name val="メイリオ"/>
      <family val="3"/>
      <charset val="128"/>
    </font>
    <font>
      <b/>
      <sz val="10"/>
      <name val="メイリオ"/>
      <family val="3"/>
      <charset val="128"/>
    </font>
    <font>
      <sz val="11"/>
      <color theme="1"/>
      <name val="メイリオ"/>
      <family val="3"/>
      <charset val="128"/>
    </font>
    <font>
      <sz val="6"/>
      <name val="ＭＳ Ｐゴシック"/>
      <family val="3"/>
    </font>
    <font>
      <b/>
      <sz val="10"/>
      <color theme="1"/>
      <name val="メイリオ"/>
      <family val="3"/>
      <charset val="128"/>
    </font>
    <font>
      <b/>
      <sz val="11"/>
      <name val="メイリオ"/>
      <family val="3"/>
      <charset val="128"/>
    </font>
    <font>
      <sz val="9"/>
      <color rgb="FFFF0000"/>
      <name val="メイリオ"/>
      <family val="3"/>
      <charset val="128"/>
    </font>
    <font>
      <sz val="11"/>
      <name val="游ゴシック"/>
      <family val="3"/>
      <charset val="128"/>
    </font>
  </fonts>
  <fills count="2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00CC66"/>
        <bgColor indexed="64"/>
      </patternFill>
    </fill>
    <fill>
      <patternFill patternType="solid">
        <fgColor indexed="9"/>
        <bgColor indexed="64"/>
      </patternFill>
    </fill>
    <fill>
      <patternFill patternType="solid">
        <fgColor rgb="FF0070C0"/>
        <bgColor indexed="64"/>
      </patternFill>
    </fill>
    <fill>
      <patternFill patternType="solid">
        <fgColor theme="0" tint="-0.34998626667073579"/>
        <bgColor indexed="64"/>
      </patternFill>
    </fill>
  </fills>
  <borders count="10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diagonal/>
    </border>
    <border>
      <left/>
      <right style="double">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slantDashDot">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bottom/>
      <diagonal/>
    </border>
    <border>
      <left/>
      <right style="hair">
        <color auto="1"/>
      </right>
      <top style="hair">
        <color auto="1"/>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diagonalDown="1">
      <left/>
      <right style="thin">
        <color indexed="64"/>
      </right>
      <top style="thin">
        <color indexed="64"/>
      </top>
      <bottom style="thick">
        <color indexed="64"/>
      </bottom>
      <diagonal style="thin">
        <color indexed="64"/>
      </diagonal>
    </border>
    <border diagonalDown="1">
      <left/>
      <right/>
      <top style="thin">
        <color indexed="64"/>
      </top>
      <bottom style="thick">
        <color indexed="64"/>
      </bottom>
      <diagonal style="thin">
        <color indexed="64"/>
      </diagonal>
    </border>
    <border diagonalDown="1">
      <left style="thin">
        <color indexed="64"/>
      </left>
      <right style="thin">
        <color indexed="64"/>
      </right>
      <top style="thin">
        <color indexed="64"/>
      </top>
      <bottom style="thick">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4" fillId="0" borderId="0"/>
  </cellStyleXfs>
  <cellXfs count="719">
    <xf numFmtId="0" fontId="0" fillId="0" borderId="0" xfId="0"/>
    <xf numFmtId="0" fontId="8" fillId="0" borderId="0" xfId="0" applyFont="1" applyFill="1" applyBorder="1" applyAlignment="1">
      <alignment vertical="center"/>
    </xf>
    <xf numFmtId="0" fontId="10" fillId="0" borderId="0" xfId="0" applyFont="1" applyFill="1" applyBorder="1" applyAlignment="1">
      <alignment vertical="center"/>
    </xf>
    <xf numFmtId="0" fontId="11" fillId="12" borderId="0" xfId="0" applyFont="1" applyFill="1" applyAlignment="1">
      <alignment vertical="center"/>
    </xf>
    <xf numFmtId="0" fontId="8" fillId="13" borderId="0" xfId="0" applyFont="1" applyFill="1" applyBorder="1" applyAlignment="1">
      <alignment vertical="center"/>
    </xf>
    <xf numFmtId="0" fontId="8" fillId="13" borderId="0" xfId="0" applyFont="1" applyFill="1" applyAlignment="1">
      <alignment vertical="center"/>
    </xf>
    <xf numFmtId="0" fontId="8" fillId="13" borderId="0" xfId="0" applyFont="1" applyFill="1" applyAlignment="1">
      <alignment vertical="center" shrinkToFit="1"/>
    </xf>
    <xf numFmtId="0" fontId="8" fillId="0" borderId="0" xfId="0" applyFont="1" applyFill="1" applyAlignment="1">
      <alignment vertical="center"/>
    </xf>
    <xf numFmtId="0" fontId="6" fillId="0" borderId="0" xfId="0" applyFont="1" applyFill="1" applyAlignment="1">
      <alignment horizontal="center" vertical="center"/>
    </xf>
    <xf numFmtId="0" fontId="12" fillId="13" borderId="0" xfId="0" applyFont="1" applyFill="1" applyBorder="1" applyAlignment="1">
      <alignment vertical="center"/>
    </xf>
    <xf numFmtId="0" fontId="8" fillId="13" borderId="0" xfId="0" applyFont="1" applyFill="1" applyBorder="1" applyAlignment="1">
      <alignment vertical="center" shrinkToFit="1"/>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3" fillId="0" borderId="0"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horizontal="right" vertical="center"/>
    </xf>
    <xf numFmtId="0" fontId="8" fillId="0" borderId="14" xfId="0" applyFont="1" applyFill="1" applyBorder="1" applyAlignment="1">
      <alignment vertical="center"/>
    </xf>
    <xf numFmtId="0" fontId="8" fillId="0" borderId="15" xfId="0" applyFont="1" applyFill="1" applyBorder="1" applyAlignment="1">
      <alignment horizontal="right" vertical="center"/>
    </xf>
    <xf numFmtId="0" fontId="13" fillId="0" borderId="0" xfId="0" applyFont="1" applyFill="1" applyAlignment="1">
      <alignment vertical="center"/>
    </xf>
    <xf numFmtId="0" fontId="11" fillId="0" borderId="0" xfId="0" applyFont="1" applyFill="1" applyBorder="1" applyAlignment="1">
      <alignment vertical="center"/>
    </xf>
    <xf numFmtId="0" fontId="11" fillId="13"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184" fontId="8" fillId="0" borderId="0" xfId="1" applyNumberFormat="1" applyFont="1" applyFill="1" applyBorder="1" applyAlignment="1">
      <alignment horizontal="center" vertical="center" shrinkToFit="1"/>
    </xf>
    <xf numFmtId="0" fontId="13" fillId="0" borderId="0" xfId="0" applyFont="1" applyFill="1" applyAlignment="1">
      <alignment horizontal="center" vertical="center" shrinkToFit="1"/>
    </xf>
    <xf numFmtId="184" fontId="13" fillId="0" borderId="0" xfId="0" applyNumberFormat="1" applyFont="1" applyFill="1" applyAlignment="1">
      <alignment horizontal="center" vertical="center"/>
    </xf>
    <xf numFmtId="0" fontId="13" fillId="0" borderId="0" xfId="0" applyFont="1" applyFill="1" applyBorder="1" applyAlignment="1">
      <alignment horizontal="right" vertical="center"/>
    </xf>
    <xf numFmtId="38" fontId="11" fillId="0" borderId="0" xfId="0" applyNumberFormat="1" applyFont="1" applyFill="1" applyBorder="1" applyAlignment="1">
      <alignment vertical="center"/>
    </xf>
    <xf numFmtId="38" fontId="13" fillId="0" borderId="0" xfId="0" applyNumberFormat="1" applyFont="1" applyFill="1" applyBorder="1" applyAlignment="1">
      <alignment horizontal="center" vertical="center"/>
    </xf>
    <xf numFmtId="0" fontId="13" fillId="13" borderId="0" xfId="0" applyFont="1" applyFill="1" applyBorder="1" applyAlignment="1">
      <alignment vertical="center"/>
    </xf>
    <xf numFmtId="0" fontId="13" fillId="13" borderId="0" xfId="0" applyFont="1" applyFill="1" applyAlignment="1">
      <alignment vertical="center"/>
    </xf>
    <xf numFmtId="38" fontId="13" fillId="0" borderId="0" xfId="1" applyFont="1" applyFill="1" applyBorder="1" applyAlignment="1">
      <alignment vertical="center"/>
    </xf>
    <xf numFmtId="0" fontId="17" fillId="13" borderId="0" xfId="0" applyFont="1" applyFill="1" applyAlignment="1">
      <alignment vertical="center"/>
    </xf>
    <xf numFmtId="0" fontId="17" fillId="13" borderId="0" xfId="0" applyFont="1" applyFill="1" applyBorder="1" applyAlignment="1">
      <alignment vertical="center"/>
    </xf>
    <xf numFmtId="38" fontId="13" fillId="0" borderId="0" xfId="1" applyFont="1" applyFill="1" applyBorder="1" applyAlignment="1">
      <alignment horizontal="center" vertical="center"/>
    </xf>
    <xf numFmtId="38" fontId="13" fillId="0" borderId="12" xfId="1" applyFont="1" applyFill="1" applyBorder="1" applyAlignment="1">
      <alignment horizontal="center" vertical="center"/>
    </xf>
    <xf numFmtId="38" fontId="11" fillId="0" borderId="0" xfId="1" applyFont="1" applyFill="1" applyBorder="1" applyAlignment="1">
      <alignment vertical="center"/>
    </xf>
    <xf numFmtId="38" fontId="13" fillId="0" borderId="16" xfId="1" applyFont="1" applyFill="1" applyBorder="1" applyAlignment="1">
      <alignment horizontal="center" vertical="center"/>
    </xf>
    <xf numFmtId="38" fontId="11" fillId="0" borderId="0" xfId="1" applyFont="1" applyFill="1" applyBorder="1" applyAlignment="1">
      <alignment horizontal="right" vertical="center"/>
    </xf>
    <xf numFmtId="0" fontId="19" fillId="0" borderId="0" xfId="0" applyFont="1" applyFill="1" applyBorder="1" applyAlignment="1">
      <alignment vertical="center"/>
    </xf>
    <xf numFmtId="0" fontId="7" fillId="0" borderId="0" xfId="0" applyFont="1" applyFill="1" applyBorder="1" applyAlignment="1">
      <alignment horizontal="left" vertical="center" wrapText="1" shrinkToFit="1"/>
    </xf>
    <xf numFmtId="0" fontId="20" fillId="0" borderId="0" xfId="0" applyFont="1" applyFill="1" applyAlignment="1">
      <alignment vertical="center"/>
    </xf>
    <xf numFmtId="0" fontId="20" fillId="13" borderId="0" xfId="0" applyFont="1" applyFill="1" applyAlignment="1">
      <alignment vertical="center"/>
    </xf>
    <xf numFmtId="176" fontId="13" fillId="0" borderId="0" xfId="0" applyNumberFormat="1" applyFont="1" applyFill="1" applyBorder="1" applyAlignment="1" applyProtection="1">
      <alignment vertical="center"/>
      <protection locked="0"/>
    </xf>
    <xf numFmtId="178" fontId="11" fillId="0" borderId="0" xfId="0" applyNumberFormat="1"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0" fontId="11" fillId="0" borderId="0" xfId="0" applyFont="1" applyFill="1" applyAlignment="1">
      <alignment vertical="center"/>
    </xf>
    <xf numFmtId="0" fontId="11" fillId="13" borderId="0" xfId="0" applyFont="1" applyFill="1" applyAlignment="1">
      <alignment vertical="center"/>
    </xf>
    <xf numFmtId="0" fontId="11" fillId="0" borderId="8" xfId="0" applyFont="1" applyFill="1" applyBorder="1" applyAlignment="1">
      <alignment vertical="center"/>
    </xf>
    <xf numFmtId="0" fontId="11" fillId="13" borderId="0" xfId="0" applyFont="1" applyFill="1" applyBorder="1" applyAlignment="1">
      <alignment horizontal="right" vertical="center"/>
    </xf>
    <xf numFmtId="0" fontId="11" fillId="13" borderId="20" xfId="0" applyFont="1" applyFill="1" applyBorder="1" applyAlignment="1">
      <alignment horizontal="right" vertical="center"/>
    </xf>
    <xf numFmtId="38" fontId="11" fillId="13" borderId="0" xfId="1" applyFont="1" applyFill="1" applyAlignment="1">
      <alignment vertical="center"/>
    </xf>
    <xf numFmtId="0" fontId="11" fillId="0" borderId="12" xfId="0" applyFont="1" applyFill="1" applyBorder="1" applyAlignment="1">
      <alignment vertical="center"/>
    </xf>
    <xf numFmtId="38" fontId="11" fillId="13" borderId="0" xfId="1" applyFont="1" applyFill="1" applyBorder="1" applyAlignment="1">
      <alignment vertical="center"/>
    </xf>
    <xf numFmtId="182" fontId="11" fillId="13" borderId="0" xfId="1" applyNumberFormat="1" applyFont="1" applyFill="1" applyBorder="1" applyAlignment="1">
      <alignment vertical="center"/>
    </xf>
    <xf numFmtId="38" fontId="11" fillId="13" borderId="0" xfId="0" applyNumberFormat="1" applyFont="1" applyFill="1" applyBorder="1" applyAlignment="1">
      <alignment vertical="center"/>
    </xf>
    <xf numFmtId="0" fontId="11" fillId="0" borderId="12" xfId="0" applyFont="1" applyFill="1" applyBorder="1" applyAlignment="1">
      <alignment horizontal="right" vertical="center"/>
    </xf>
    <xf numFmtId="0" fontId="11" fillId="13" borderId="16" xfId="0" applyFont="1" applyFill="1" applyBorder="1" applyAlignment="1">
      <alignment horizontal="right" vertical="center"/>
    </xf>
    <xf numFmtId="0" fontId="11" fillId="13" borderId="16" xfId="0" applyFont="1" applyFill="1" applyBorder="1" applyAlignment="1">
      <alignment vertical="center" shrinkToFit="1"/>
    </xf>
    <xf numFmtId="0" fontId="13" fillId="0" borderId="0" xfId="0" applyFont="1" applyFill="1" applyAlignment="1">
      <alignment vertical="center" shrinkToFit="1"/>
    </xf>
    <xf numFmtId="0" fontId="23" fillId="0" borderId="0" xfId="0" applyFont="1" applyFill="1" applyBorder="1" applyAlignment="1">
      <alignment vertical="center"/>
    </xf>
    <xf numFmtId="0" fontId="24"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horizontal="center" vertical="center"/>
    </xf>
    <xf numFmtId="0" fontId="13" fillId="0" borderId="0" xfId="0" applyFont="1" applyFill="1" applyBorder="1" applyAlignment="1">
      <alignment vertical="center" shrinkToFit="1"/>
    </xf>
    <xf numFmtId="0" fontId="8" fillId="0" borderId="0" xfId="0" applyFont="1" applyFill="1" applyAlignment="1">
      <alignment vertical="center" shrinkToFit="1"/>
    </xf>
    <xf numFmtId="38" fontId="8" fillId="0" borderId="0" xfId="0" applyNumberFormat="1" applyFont="1" applyFill="1" applyBorder="1" applyAlignment="1">
      <alignment horizontal="right" vertical="center"/>
    </xf>
    <xf numFmtId="38" fontId="13" fillId="0" borderId="0" xfId="0" applyNumberFormat="1" applyFont="1" applyFill="1" applyBorder="1" applyAlignment="1">
      <alignment horizontal="right" vertical="center"/>
    </xf>
    <xf numFmtId="38" fontId="13" fillId="0" borderId="0" xfId="0" applyNumberFormat="1" applyFont="1" applyFill="1" applyBorder="1" applyAlignment="1">
      <alignment vertical="center"/>
    </xf>
    <xf numFmtId="0" fontId="20" fillId="0" borderId="0" xfId="0" applyFont="1" applyFill="1" applyBorder="1" applyAlignment="1">
      <alignment vertical="center"/>
    </xf>
    <xf numFmtId="0" fontId="11" fillId="0" borderId="0" xfId="0" applyFont="1" applyFill="1" applyBorder="1" applyAlignment="1">
      <alignment vertical="center" textRotation="255"/>
    </xf>
    <xf numFmtId="0" fontId="11" fillId="0" borderId="60" xfId="0" applyFont="1" applyFill="1" applyBorder="1" applyAlignment="1">
      <alignment vertical="center"/>
    </xf>
    <xf numFmtId="0" fontId="11" fillId="0" borderId="9" xfId="0" applyFont="1" applyFill="1" applyBorder="1" applyAlignment="1">
      <alignment vertical="center"/>
    </xf>
    <xf numFmtId="0" fontId="11" fillId="0" borderId="59" xfId="0" applyFont="1" applyFill="1" applyBorder="1" applyAlignment="1">
      <alignment vertical="center"/>
    </xf>
    <xf numFmtId="0" fontId="11" fillId="0" borderId="16" xfId="0" applyFont="1" applyFill="1" applyBorder="1" applyAlignment="1">
      <alignment vertical="center"/>
    </xf>
    <xf numFmtId="0" fontId="7" fillId="0" borderId="16" xfId="0" applyFont="1" applyFill="1" applyBorder="1" applyAlignment="1">
      <alignment horizontal="center" vertical="center"/>
    </xf>
    <xf numFmtId="0" fontId="11" fillId="0" borderId="57" xfId="0" applyFont="1" applyFill="1" applyBorder="1" applyAlignment="1">
      <alignment vertical="center"/>
    </xf>
    <xf numFmtId="0" fontId="11" fillId="0" borderId="54" xfId="0" applyFont="1" applyFill="1" applyBorder="1" applyAlignment="1">
      <alignment vertical="center"/>
    </xf>
    <xf numFmtId="0" fontId="7" fillId="0" borderId="54" xfId="0" applyFont="1" applyFill="1" applyBorder="1" applyAlignment="1">
      <alignment horizontal="center" vertical="center"/>
    </xf>
    <xf numFmtId="0" fontId="7" fillId="0" borderId="62" xfId="0" applyFont="1" applyFill="1" applyBorder="1" applyAlignment="1">
      <alignment horizontal="center" vertical="center"/>
    </xf>
    <xf numFmtId="0" fontId="11" fillId="0" borderId="50" xfId="0" applyFont="1" applyFill="1" applyBorder="1" applyAlignment="1">
      <alignment vertical="center"/>
    </xf>
    <xf numFmtId="0" fontId="22" fillId="0" borderId="56" xfId="0" applyFont="1" applyFill="1" applyBorder="1" applyAlignment="1">
      <alignment vertical="center"/>
    </xf>
    <xf numFmtId="0" fontId="11" fillId="0" borderId="56" xfId="0" applyFont="1" applyFill="1" applyBorder="1" applyAlignment="1">
      <alignment vertical="center"/>
    </xf>
    <xf numFmtId="0" fontId="11" fillId="0" borderId="63" xfId="0" applyFont="1" applyFill="1" applyBorder="1" applyAlignment="1">
      <alignment vertical="center"/>
    </xf>
    <xf numFmtId="0" fontId="11" fillId="0" borderId="62" xfId="0" applyFont="1" applyFill="1" applyBorder="1" applyAlignment="1">
      <alignment vertical="center"/>
    </xf>
    <xf numFmtId="0" fontId="11" fillId="0" borderId="56" xfId="0" applyFont="1" applyFill="1" applyBorder="1" applyAlignment="1">
      <alignment horizontal="right" vertical="center"/>
    </xf>
    <xf numFmtId="0" fontId="11" fillId="0" borderId="61" xfId="0" applyFont="1" applyFill="1" applyBorder="1" applyAlignment="1">
      <alignment vertical="center"/>
    </xf>
    <xf numFmtId="0" fontId="11" fillId="0" borderId="12" xfId="0" applyFont="1" applyFill="1" applyBorder="1" applyAlignment="1">
      <alignment horizontal="left" vertical="center"/>
    </xf>
    <xf numFmtId="0" fontId="11" fillId="0" borderId="13" xfId="0" applyFont="1" applyFill="1" applyBorder="1" applyAlignment="1">
      <alignment vertical="center"/>
    </xf>
    <xf numFmtId="0" fontId="7" fillId="0" borderId="63" xfId="0" applyFont="1" applyFill="1" applyBorder="1" applyAlignment="1">
      <alignment horizontal="center" vertical="center"/>
    </xf>
    <xf numFmtId="0" fontId="32" fillId="0" borderId="0" xfId="0" applyFont="1" applyFill="1" applyBorder="1" applyAlignment="1">
      <alignment vertical="center"/>
    </xf>
    <xf numFmtId="0" fontId="30" fillId="0" borderId="0" xfId="0" applyFont="1" applyFill="1" applyAlignment="1">
      <alignment vertical="center"/>
    </xf>
    <xf numFmtId="0" fontId="32" fillId="13" borderId="0" xfId="0" applyFont="1" applyFill="1" applyAlignment="1">
      <alignment horizontal="right" vertical="center"/>
    </xf>
    <xf numFmtId="0" fontId="21" fillId="13" borderId="0" xfId="0" applyFont="1" applyFill="1" applyBorder="1" applyAlignment="1">
      <alignment vertical="center"/>
    </xf>
    <xf numFmtId="38" fontId="11" fillId="13" borderId="0" xfId="0" applyNumberFormat="1" applyFont="1" applyFill="1" applyAlignment="1">
      <alignment vertical="center"/>
    </xf>
    <xf numFmtId="0" fontId="11" fillId="0" borderId="56" xfId="0" applyFont="1" applyFill="1" applyBorder="1" applyAlignment="1">
      <alignment horizontal="left" vertical="center"/>
    </xf>
    <xf numFmtId="176" fontId="11" fillId="0" borderId="56" xfId="0" applyNumberFormat="1" applyFont="1" applyFill="1" applyBorder="1" applyAlignment="1">
      <alignment horizontal="right" vertical="center"/>
    </xf>
    <xf numFmtId="0" fontId="11" fillId="0" borderId="0" xfId="0" applyFont="1" applyFill="1" applyBorder="1" applyAlignment="1">
      <alignment horizontal="left" vertical="center"/>
    </xf>
    <xf numFmtId="0" fontId="35" fillId="13" borderId="0" xfId="0" applyFont="1" applyFill="1" applyAlignment="1">
      <alignment vertical="center"/>
    </xf>
    <xf numFmtId="0" fontId="36" fillId="0" borderId="0" xfId="0" applyFont="1" applyBorder="1" applyAlignment="1"/>
    <xf numFmtId="178" fontId="36" fillId="0" borderId="0" xfId="0" applyNumberFormat="1" applyFont="1" applyBorder="1" applyAlignment="1">
      <alignment vertical="center"/>
    </xf>
    <xf numFmtId="0" fontId="36" fillId="0" borderId="0" xfId="0" applyFont="1" applyBorder="1" applyAlignment="1">
      <alignment vertical="center"/>
    </xf>
    <xf numFmtId="58" fontId="36" fillId="0" borderId="0" xfId="0" applyNumberFormat="1" applyFont="1" applyBorder="1" applyAlignment="1">
      <alignment vertical="center"/>
    </xf>
    <xf numFmtId="179" fontId="36" fillId="0" borderId="0" xfId="1" applyNumberFormat="1" applyFont="1" applyFill="1" applyBorder="1" applyAlignment="1" applyProtection="1">
      <alignment vertical="center"/>
      <protection locked="0"/>
    </xf>
    <xf numFmtId="38" fontId="36" fillId="0" borderId="0" xfId="1" applyFont="1" applyFill="1" applyBorder="1" applyAlignment="1" applyProtection="1">
      <alignment vertical="center"/>
      <protection locked="0"/>
    </xf>
    <xf numFmtId="0" fontId="36" fillId="0" borderId="0" xfId="0" applyFont="1" applyBorder="1" applyAlignment="1">
      <alignment horizontal="center"/>
    </xf>
    <xf numFmtId="176" fontId="36" fillId="0" borderId="0" xfId="1" applyNumberFormat="1" applyFont="1" applyAlignment="1">
      <alignment vertical="center"/>
    </xf>
    <xf numFmtId="0" fontId="36" fillId="0" borderId="0" xfId="0" applyFont="1" applyAlignment="1">
      <alignment horizontal="center"/>
    </xf>
    <xf numFmtId="176" fontId="36" fillId="0" borderId="0" xfId="1" applyNumberFormat="1" applyFont="1" applyAlignment="1">
      <alignment horizontal="center" vertical="center"/>
    </xf>
    <xf numFmtId="0" fontId="36" fillId="0" borderId="0" xfId="0" applyFont="1" applyAlignment="1"/>
    <xf numFmtId="49" fontId="36" fillId="0" borderId="0" xfId="1" applyNumberFormat="1" applyFont="1" applyFill="1" applyBorder="1" applyAlignment="1">
      <alignment vertical="center"/>
    </xf>
    <xf numFmtId="0" fontId="36" fillId="0" borderId="0" xfId="0" applyFont="1" applyFill="1" applyBorder="1" applyAlignment="1"/>
    <xf numFmtId="6" fontId="36" fillId="0" borderId="0" xfId="2" applyFont="1" applyBorder="1" applyAlignment="1">
      <alignment vertical="center" shrinkToFit="1"/>
    </xf>
    <xf numFmtId="182" fontId="36" fillId="0" borderId="0" xfId="0" applyNumberFormat="1" applyFont="1" applyFill="1" applyBorder="1" applyAlignment="1">
      <alignment vertical="center" shrinkToFit="1"/>
    </xf>
    <xf numFmtId="0" fontId="36" fillId="0" borderId="0" xfId="0" applyFont="1" applyBorder="1" applyAlignment="1">
      <alignment vertical="center" shrinkToFit="1"/>
    </xf>
    <xf numFmtId="38" fontId="37" fillId="0" borderId="0" xfId="1" applyFont="1" applyBorder="1" applyAlignment="1">
      <alignment vertical="center" shrinkToFit="1"/>
    </xf>
    <xf numFmtId="0" fontId="28" fillId="0" borderId="0" xfId="0" applyFont="1" applyAlignment="1">
      <alignment vertical="center"/>
    </xf>
    <xf numFmtId="0" fontId="28" fillId="0" borderId="0" xfId="0" applyFont="1" applyAlignment="1">
      <alignment horizontal="center" vertical="center"/>
    </xf>
    <xf numFmtId="0" fontId="41" fillId="0" borderId="0" xfId="0" applyFont="1" applyBorder="1" applyAlignment="1">
      <alignment horizontal="center" vertical="center"/>
    </xf>
    <xf numFmtId="0" fontId="36" fillId="0" borderId="0" xfId="0" applyFont="1" applyFill="1" applyAlignment="1">
      <alignment vertical="center"/>
    </xf>
    <xf numFmtId="0" fontId="34" fillId="0" borderId="0" xfId="0" applyFont="1" applyFill="1" applyBorder="1" applyAlignment="1">
      <alignment horizontal="center" vertical="center"/>
    </xf>
    <xf numFmtId="0" fontId="40" fillId="0" borderId="0" xfId="0" applyFont="1" applyBorder="1" applyAlignment="1">
      <alignment horizontal="center" vertical="center"/>
    </xf>
    <xf numFmtId="0" fontId="37" fillId="0" borderId="0" xfId="0" applyFont="1" applyFill="1" applyAlignment="1">
      <alignment vertical="center"/>
    </xf>
    <xf numFmtId="0" fontId="29" fillId="0" borderId="0" xfId="0" applyFont="1" applyFill="1" applyAlignment="1">
      <alignment vertical="center"/>
    </xf>
    <xf numFmtId="38" fontId="11" fillId="13" borderId="0" xfId="1" applyNumberFormat="1" applyFont="1" applyFill="1" applyBorder="1" applyAlignment="1">
      <alignment horizontal="center" vertical="center"/>
    </xf>
    <xf numFmtId="0" fontId="8" fillId="14" borderId="0" xfId="0" applyFont="1" applyFill="1" applyBorder="1" applyAlignment="1">
      <alignment vertical="center"/>
    </xf>
    <xf numFmtId="0" fontId="6" fillId="14" borderId="0" xfId="0" applyFont="1" applyFill="1" applyAlignment="1">
      <alignment horizontal="center" vertical="center"/>
    </xf>
    <xf numFmtId="0" fontId="8" fillId="14" borderId="0" xfId="0" applyFont="1" applyFill="1" applyAlignment="1">
      <alignment vertical="center"/>
    </xf>
    <xf numFmtId="0" fontId="11" fillId="14" borderId="0" xfId="0" applyFont="1" applyFill="1" applyAlignment="1">
      <alignment vertical="center"/>
    </xf>
    <xf numFmtId="0" fontId="11" fillId="14" borderId="0" xfId="0" applyFont="1" applyFill="1" applyBorder="1" applyAlignment="1">
      <alignment vertical="center"/>
    </xf>
    <xf numFmtId="0" fontId="13" fillId="14" borderId="0" xfId="0" applyFont="1" applyFill="1" applyAlignment="1">
      <alignment vertical="center"/>
    </xf>
    <xf numFmtId="0" fontId="24" fillId="14" borderId="0" xfId="0" applyFont="1" applyFill="1" applyBorder="1" applyAlignment="1">
      <alignment vertical="center"/>
    </xf>
    <xf numFmtId="0" fontId="26" fillId="14" borderId="0" xfId="0" applyFont="1" applyFill="1" applyBorder="1" applyAlignment="1">
      <alignment vertical="center"/>
    </xf>
    <xf numFmtId="0" fontId="13" fillId="14" borderId="0" xfId="0" applyFont="1" applyFill="1" applyBorder="1" applyAlignment="1">
      <alignment vertical="center"/>
    </xf>
    <xf numFmtId="0" fontId="47" fillId="13" borderId="0" xfId="0" applyFont="1" applyFill="1" applyAlignment="1">
      <alignment vertical="center"/>
    </xf>
    <xf numFmtId="0" fontId="13" fillId="13" borderId="0" xfId="0" applyFont="1" applyFill="1" applyAlignment="1">
      <alignment vertical="center" shrinkToFit="1"/>
    </xf>
    <xf numFmtId="0" fontId="12" fillId="13" borderId="0" xfId="0" applyFont="1" applyFill="1" applyBorder="1" applyAlignment="1">
      <alignment horizontal="center" vertical="center" shrinkToFit="1"/>
    </xf>
    <xf numFmtId="0" fontId="37" fillId="0" borderId="0" xfId="0" applyFont="1" applyFill="1" applyBorder="1" applyAlignment="1">
      <alignment vertical="center"/>
    </xf>
    <xf numFmtId="0" fontId="49" fillId="0" borderId="0" xfId="0" applyFont="1" applyFill="1" applyBorder="1" applyAlignment="1">
      <alignment horizontal="center" vertical="center"/>
    </xf>
    <xf numFmtId="0" fontId="50" fillId="0" borderId="0" xfId="0" applyFont="1" applyFill="1" applyBorder="1" applyAlignment="1">
      <alignment horizontal="right" vertical="center"/>
    </xf>
    <xf numFmtId="0" fontId="36" fillId="7" borderId="0" xfId="0" applyFont="1" applyFill="1" applyAlignment="1">
      <alignment vertical="center"/>
    </xf>
    <xf numFmtId="185" fontId="9" fillId="0" borderId="0" xfId="0" applyNumberFormat="1" applyFont="1" applyFill="1" applyBorder="1" applyAlignment="1">
      <alignment vertical="center" wrapText="1"/>
    </xf>
    <xf numFmtId="0" fontId="16" fillId="13" borderId="0" xfId="0" applyFont="1" applyFill="1" applyAlignment="1">
      <alignment vertical="center"/>
    </xf>
    <xf numFmtId="185" fontId="13" fillId="13" borderId="0" xfId="0" applyNumberFormat="1" applyFont="1" applyFill="1" applyBorder="1" applyAlignment="1">
      <alignment vertical="center" wrapText="1"/>
    </xf>
    <xf numFmtId="0" fontId="13" fillId="13" borderId="0" xfId="0" applyFont="1" applyFill="1" applyBorder="1" applyAlignment="1">
      <alignment horizontal="right" vertical="center"/>
    </xf>
    <xf numFmtId="0" fontId="13" fillId="16" borderId="6" xfId="0" applyFont="1" applyFill="1" applyBorder="1" applyAlignment="1">
      <alignment vertical="center"/>
    </xf>
    <xf numFmtId="0" fontId="47" fillId="13" borderId="0" xfId="0" applyFont="1" applyFill="1" applyAlignment="1">
      <alignment horizontal="right" vertical="center"/>
    </xf>
    <xf numFmtId="0" fontId="21" fillId="13" borderId="0" xfId="0" applyFont="1" applyFill="1" applyAlignment="1">
      <alignment vertical="center"/>
    </xf>
    <xf numFmtId="0" fontId="11" fillId="0" borderId="0" xfId="0" applyFont="1" applyFill="1" applyBorder="1" applyAlignment="1">
      <alignment horizontal="right" vertical="center"/>
    </xf>
    <xf numFmtId="0" fontId="8" fillId="0" borderId="56" xfId="0" applyFont="1" applyFill="1" applyBorder="1" applyAlignment="1">
      <alignment vertical="center"/>
    </xf>
    <xf numFmtId="0" fontId="13" fillId="0" borderId="56" xfId="0" applyFont="1" applyFill="1" applyBorder="1" applyAlignment="1">
      <alignment vertical="center"/>
    </xf>
    <xf numFmtId="0" fontId="29" fillId="0" borderId="0" xfId="0" applyFont="1" applyAlignment="1">
      <alignment horizontal="center" vertical="center" shrinkToFit="1"/>
    </xf>
    <xf numFmtId="0" fontId="29" fillId="0" borderId="0" xfId="0" applyFont="1" applyAlignment="1">
      <alignment vertical="center" shrinkToFit="1"/>
    </xf>
    <xf numFmtId="0" fontId="13" fillId="0" borderId="0" xfId="0" applyFont="1" applyFill="1" applyBorder="1" applyAlignment="1">
      <alignment horizontal="center" vertical="center"/>
    </xf>
    <xf numFmtId="38" fontId="11" fillId="13" borderId="0" xfId="0" applyNumberFormat="1" applyFont="1" applyFill="1" applyBorder="1" applyAlignment="1">
      <alignment horizontal="center" vertical="center"/>
    </xf>
    <xf numFmtId="0" fontId="11" fillId="13" borderId="0" xfId="0" applyFont="1" applyFill="1" applyBorder="1" applyAlignment="1">
      <alignment horizontal="center" vertical="center"/>
    </xf>
    <xf numFmtId="38" fontId="35" fillId="13" borderId="0" xfId="1" applyFont="1" applyFill="1" applyBorder="1" applyAlignment="1">
      <alignment horizontal="center" vertical="center"/>
    </xf>
    <xf numFmtId="38" fontId="11" fillId="0" borderId="0" xfId="1" applyFont="1" applyFill="1" applyBorder="1" applyAlignment="1">
      <alignment horizontal="center" vertical="center"/>
    </xf>
    <xf numFmtId="0" fontId="11" fillId="0" borderId="0" xfId="0" applyFont="1" applyFill="1" applyBorder="1" applyAlignment="1">
      <alignment horizontal="center" vertical="center"/>
    </xf>
    <xf numFmtId="38" fontId="11" fillId="13" borderId="0" xfId="1" applyFont="1" applyFill="1" applyBorder="1" applyAlignment="1">
      <alignment horizontal="center" vertical="center"/>
    </xf>
    <xf numFmtId="38" fontId="35" fillId="13" borderId="0" xfId="1" applyNumberFormat="1" applyFont="1" applyFill="1" applyBorder="1" applyAlignment="1">
      <alignment horizontal="center" vertical="center"/>
    </xf>
    <xf numFmtId="0" fontId="11" fillId="0" borderId="56" xfId="0" applyFont="1" applyFill="1" applyBorder="1" applyAlignment="1">
      <alignment horizontal="center" vertical="center"/>
    </xf>
    <xf numFmtId="38" fontId="35" fillId="13" borderId="0" xfId="0" applyNumberFormat="1" applyFont="1" applyFill="1" applyBorder="1" applyAlignment="1">
      <alignment horizontal="center" vertical="center"/>
    </xf>
    <xf numFmtId="0" fontId="21" fillId="0" borderId="0" xfId="0" applyFont="1" applyFill="1" applyAlignment="1">
      <alignment vertical="center"/>
    </xf>
    <xf numFmtId="0" fontId="11" fillId="0" borderId="40" xfId="0" applyFont="1" applyFill="1" applyBorder="1" applyAlignment="1">
      <alignment vertical="center"/>
    </xf>
    <xf numFmtId="0" fontId="36" fillId="0" borderId="0" xfId="0" applyFont="1" applyAlignment="1">
      <alignment vertical="center"/>
    </xf>
    <xf numFmtId="0" fontId="8" fillId="13" borderId="6" xfId="0" applyFont="1" applyFill="1" applyBorder="1" applyAlignment="1">
      <alignment vertical="center"/>
    </xf>
    <xf numFmtId="0" fontId="11" fillId="15" borderId="7" xfId="0" applyFont="1" applyFill="1" applyBorder="1" applyAlignment="1">
      <alignment vertical="center"/>
    </xf>
    <xf numFmtId="0" fontId="13" fillId="15" borderId="7" xfId="0" applyFont="1" applyFill="1" applyBorder="1" applyAlignment="1">
      <alignment vertical="center"/>
    </xf>
    <xf numFmtId="0" fontId="11" fillId="15" borderId="6" xfId="0" applyFont="1" applyFill="1" applyBorder="1" applyAlignment="1">
      <alignment vertical="center"/>
    </xf>
    <xf numFmtId="0" fontId="13" fillId="15" borderId="6" xfId="0" applyFont="1" applyFill="1" applyBorder="1" applyAlignment="1">
      <alignment vertical="center"/>
    </xf>
    <xf numFmtId="0" fontId="43" fillId="0" borderId="0" xfId="0" applyFont="1" applyBorder="1" applyAlignment="1">
      <alignment vertical="center"/>
    </xf>
    <xf numFmtId="0" fontId="42" fillId="0" borderId="0" xfId="0" applyFont="1" applyAlignment="1">
      <alignment vertical="center"/>
    </xf>
    <xf numFmtId="0" fontId="17" fillId="13" borderId="8" xfId="0" applyFont="1" applyFill="1" applyBorder="1" applyAlignment="1">
      <alignment vertical="center"/>
    </xf>
    <xf numFmtId="0" fontId="34" fillId="0" borderId="0" xfId="0" applyFont="1" applyAlignment="1">
      <alignment vertical="center"/>
    </xf>
    <xf numFmtId="0" fontId="36" fillId="0" borderId="0" xfId="0" applyFont="1" applyBorder="1" applyAlignment="1">
      <alignment horizontal="center" vertical="center" shrinkToFit="1"/>
    </xf>
    <xf numFmtId="0" fontId="36" fillId="0" borderId="0" xfId="0" applyFont="1" applyAlignment="1">
      <alignment vertical="center" shrinkToFit="1"/>
    </xf>
    <xf numFmtId="38" fontId="47" fillId="13" borderId="0" xfId="1" applyFont="1" applyFill="1" applyAlignment="1">
      <alignment vertical="center"/>
    </xf>
    <xf numFmtId="38" fontId="13" fillId="13" borderId="0" xfId="1" applyFont="1" applyFill="1" applyAlignment="1">
      <alignment vertical="center"/>
    </xf>
    <xf numFmtId="0" fontId="37" fillId="0" borderId="0" xfId="0" applyFont="1" applyAlignment="1">
      <alignment vertical="center"/>
    </xf>
    <xf numFmtId="0" fontId="37" fillId="0" borderId="0" xfId="0" applyFont="1" applyBorder="1" applyAlignment="1">
      <alignment vertical="center"/>
    </xf>
    <xf numFmtId="0" fontId="45" fillId="0" borderId="0" xfId="0" applyFont="1" applyAlignment="1">
      <alignment horizontal="right" vertical="center"/>
    </xf>
    <xf numFmtId="0" fontId="38" fillId="0" borderId="0" xfId="0" applyFont="1" applyFill="1" applyBorder="1" applyAlignment="1">
      <alignment vertical="center"/>
    </xf>
    <xf numFmtId="0" fontId="36" fillId="0" borderId="40" xfId="0" applyFont="1" applyBorder="1" applyAlignment="1">
      <alignment vertical="center"/>
    </xf>
    <xf numFmtId="0" fontId="11" fillId="0" borderId="0" xfId="0" applyFont="1" applyFill="1" applyBorder="1" applyAlignment="1">
      <alignment horizontal="center" vertical="center"/>
    </xf>
    <xf numFmtId="0" fontId="29" fillId="0" borderId="2" xfId="0" applyFont="1" applyBorder="1" applyAlignment="1">
      <alignment vertical="center"/>
    </xf>
    <xf numFmtId="0" fontId="29" fillId="0" borderId="3" xfId="0" applyFont="1" applyBorder="1" applyAlignment="1">
      <alignment vertical="center"/>
    </xf>
    <xf numFmtId="0" fontId="29" fillId="0" borderId="1" xfId="0" applyFont="1" applyBorder="1" applyAlignment="1">
      <alignment vertical="center"/>
    </xf>
    <xf numFmtId="38" fontId="29" fillId="0" borderId="2" xfId="0" applyNumberFormat="1" applyFont="1" applyBorder="1" applyAlignment="1">
      <alignment horizontal="right" vertical="center"/>
    </xf>
    <xf numFmtId="38" fontId="29" fillId="0" borderId="3" xfId="0" applyNumberFormat="1" applyFont="1" applyBorder="1" applyAlignment="1">
      <alignment vertical="center"/>
    </xf>
    <xf numFmtId="38" fontId="29" fillId="0" borderId="1" xfId="0" applyNumberFormat="1" applyFont="1" applyBorder="1" applyAlignment="1">
      <alignment horizontal="center" vertical="center"/>
    </xf>
    <xf numFmtId="0" fontId="49" fillId="0" borderId="0" xfId="0" applyFont="1" applyBorder="1" applyAlignment="1">
      <alignment vertical="center"/>
    </xf>
    <xf numFmtId="0" fontId="53" fillId="0" borderId="0" xfId="0" applyFont="1" applyFill="1" applyBorder="1" applyAlignment="1">
      <alignment vertical="center"/>
    </xf>
    <xf numFmtId="0" fontId="37" fillId="0" borderId="0" xfId="0" applyFont="1" applyAlignment="1">
      <alignment horizontal="center" vertical="center" shrinkToFit="1"/>
    </xf>
    <xf numFmtId="0" fontId="37" fillId="0" borderId="0" xfId="0" applyFont="1" applyFill="1" applyAlignment="1">
      <alignment horizontal="center" vertical="center" shrinkToFit="1"/>
    </xf>
    <xf numFmtId="0" fontId="36" fillId="0" borderId="57" xfId="0" applyFont="1" applyFill="1" applyBorder="1" applyAlignment="1">
      <alignment vertical="center"/>
    </xf>
    <xf numFmtId="0" fontId="36" fillId="0" borderId="83" xfId="0" applyFont="1" applyBorder="1" applyAlignment="1">
      <alignment vertical="center"/>
    </xf>
    <xf numFmtId="0" fontId="38" fillId="0" borderId="0" xfId="0" applyFont="1" applyAlignment="1">
      <alignment horizontal="left" vertical="top"/>
    </xf>
    <xf numFmtId="0" fontId="11" fillId="7" borderId="0" xfId="0" applyFont="1" applyFill="1" applyAlignment="1">
      <alignment vertical="center"/>
    </xf>
    <xf numFmtId="0" fontId="55" fillId="0" borderId="0" xfId="0" applyFont="1" applyBorder="1" applyAlignment="1">
      <alignment horizontal="left" vertical="top"/>
    </xf>
    <xf numFmtId="0" fontId="56" fillId="0" borderId="0" xfId="0" applyFont="1" applyBorder="1" applyAlignment="1">
      <alignment horizontal="left" vertical="top"/>
    </xf>
    <xf numFmtId="0" fontId="36" fillId="0" borderId="0" xfId="0" applyFont="1" applyBorder="1" applyAlignment="1">
      <alignment shrinkToFit="1"/>
    </xf>
    <xf numFmtId="0" fontId="37" fillId="0" borderId="54" xfId="0" applyFont="1" applyBorder="1" applyAlignment="1">
      <alignment vertical="center"/>
    </xf>
    <xf numFmtId="0" fontId="36" fillId="0" borderId="54" xfId="0" applyFont="1" applyBorder="1" applyAlignment="1"/>
    <xf numFmtId="0" fontId="29" fillId="0" borderId="54" xfId="0" applyFont="1" applyBorder="1" applyAlignment="1">
      <alignment horizontal="right"/>
    </xf>
    <xf numFmtId="0" fontId="29" fillId="0" borderId="54" xfId="0" applyFont="1" applyBorder="1" applyAlignment="1">
      <alignment vertical="center"/>
    </xf>
    <xf numFmtId="0" fontId="29" fillId="0" borderId="54" xfId="0" applyFont="1" applyBorder="1" applyAlignment="1">
      <alignment horizontal="right" vertical="center"/>
    </xf>
    <xf numFmtId="185" fontId="38" fillId="0" borderId="54" xfId="0" applyNumberFormat="1" applyFont="1" applyBorder="1" applyAlignment="1">
      <alignment vertical="center"/>
    </xf>
    <xf numFmtId="0" fontId="37" fillId="0" borderId="0" xfId="0" applyFont="1" applyFill="1" applyAlignment="1"/>
    <xf numFmtId="0" fontId="11" fillId="14" borderId="0" xfId="0" applyFont="1" applyFill="1" applyAlignment="1"/>
    <xf numFmtId="0" fontId="11" fillId="0" borderId="0" xfId="0" applyFont="1" applyFill="1" applyAlignment="1"/>
    <xf numFmtId="0" fontId="11" fillId="0" borderId="0" xfId="0" applyFont="1" applyFill="1" applyBorder="1" applyAlignment="1"/>
    <xf numFmtId="0" fontId="17" fillId="0" borderId="0" xfId="0" applyFont="1" applyFill="1" applyAlignment="1">
      <alignment horizontal="left"/>
    </xf>
    <xf numFmtId="0" fontId="11" fillId="14" borderId="0" xfId="0" applyFont="1" applyFill="1" applyBorder="1" applyAlignment="1"/>
    <xf numFmtId="0" fontId="36" fillId="0" borderId="0" xfId="0" applyFont="1" applyAlignment="1">
      <alignment horizontal="center" vertical="center"/>
    </xf>
    <xf numFmtId="0" fontId="43" fillId="0" borderId="0" xfId="0" applyFont="1" applyAlignment="1">
      <alignment vertical="center"/>
    </xf>
    <xf numFmtId="0" fontId="43" fillId="0" borderId="0" xfId="0" applyFont="1" applyAlignment="1">
      <alignment horizontal="right" vertical="center"/>
    </xf>
    <xf numFmtId="0" fontId="36" fillId="0" borderId="2" xfId="0" applyFont="1" applyFill="1" applyBorder="1" applyAlignment="1">
      <alignment vertical="center"/>
    </xf>
    <xf numFmtId="0" fontId="60" fillId="0" borderId="0" xfId="0" applyFont="1" applyAlignment="1">
      <alignment vertical="top"/>
    </xf>
    <xf numFmtId="0" fontId="61" fillId="0" borderId="0" xfId="0" applyFont="1"/>
    <xf numFmtId="0" fontId="60" fillId="0" borderId="0" xfId="0" applyFont="1"/>
    <xf numFmtId="0" fontId="62" fillId="17" borderId="0" xfId="0" applyFont="1" applyFill="1" applyAlignment="1">
      <alignment vertical="top"/>
    </xf>
    <xf numFmtId="0" fontId="63" fillId="0" borderId="0" xfId="0" applyFont="1" applyAlignment="1">
      <alignment horizontal="center" vertical="top"/>
    </xf>
    <xf numFmtId="0" fontId="62" fillId="0" borderId="0" xfId="0" applyFont="1" applyAlignment="1">
      <alignment horizontal="center" vertical="top"/>
    </xf>
    <xf numFmtId="0" fontId="64" fillId="18" borderId="0" xfId="0" applyFont="1" applyFill="1" applyAlignment="1">
      <alignment vertical="top"/>
    </xf>
    <xf numFmtId="0" fontId="62" fillId="0" borderId="0" xfId="0" applyFont="1" applyAlignment="1">
      <alignment vertical="top"/>
    </xf>
    <xf numFmtId="0" fontId="66" fillId="0" borderId="0" xfId="0" applyFont="1" applyAlignment="1">
      <alignment vertical="top"/>
    </xf>
    <xf numFmtId="0" fontId="61" fillId="0" borderId="0" xfId="0" applyFont="1" applyAlignment="1">
      <alignment vertical="top"/>
    </xf>
    <xf numFmtId="0" fontId="60" fillId="13" borderId="17" xfId="0" applyFont="1" applyFill="1" applyBorder="1" applyAlignment="1">
      <alignment vertical="top"/>
    </xf>
    <xf numFmtId="0" fontId="60" fillId="13" borderId="8" xfId="0" applyFont="1" applyFill="1" applyBorder="1" applyAlignment="1">
      <alignment vertical="top"/>
    </xf>
    <xf numFmtId="0" fontId="60" fillId="13" borderId="9" xfId="0" applyFont="1" applyFill="1" applyBorder="1" applyAlignment="1">
      <alignment vertical="top"/>
    </xf>
    <xf numFmtId="0" fontId="60" fillId="18" borderId="0" xfId="0" applyFont="1" applyFill="1" applyAlignment="1">
      <alignment vertical="top"/>
    </xf>
    <xf numFmtId="0" fontId="60" fillId="18" borderId="0" xfId="0" applyFont="1" applyFill="1" applyBorder="1" applyAlignment="1">
      <alignment vertical="top"/>
    </xf>
    <xf numFmtId="0" fontId="62" fillId="0" borderId="0" xfId="0" applyFont="1" applyBorder="1" applyAlignment="1">
      <alignment vertical="top"/>
    </xf>
    <xf numFmtId="0" fontId="60" fillId="13" borderId="19" xfId="0" applyFont="1" applyFill="1" applyBorder="1" applyAlignment="1">
      <alignment vertical="top"/>
    </xf>
    <xf numFmtId="0" fontId="60" fillId="13" borderId="12" xfId="0" applyFont="1" applyFill="1" applyBorder="1" applyAlignment="1">
      <alignment vertical="top"/>
    </xf>
    <xf numFmtId="0" fontId="60" fillId="13" borderId="13" xfId="0" applyFont="1" applyFill="1" applyBorder="1" applyAlignment="1">
      <alignment vertical="top"/>
    </xf>
    <xf numFmtId="0" fontId="62" fillId="0" borderId="0" xfId="0" applyFont="1" applyAlignment="1">
      <alignment horizontal="right" vertical="top"/>
    </xf>
    <xf numFmtId="0" fontId="60" fillId="18" borderId="0" xfId="0" applyFont="1" applyFill="1" applyAlignment="1">
      <alignment horizontal="right" vertical="top"/>
    </xf>
    <xf numFmtId="0" fontId="62" fillId="0" borderId="0" xfId="0" applyFont="1" applyFill="1" applyAlignment="1">
      <alignment vertical="top"/>
    </xf>
    <xf numFmtId="0" fontId="62" fillId="0" borderId="19" xfId="0" applyFont="1" applyFill="1" applyBorder="1" applyAlignment="1">
      <alignment vertical="top"/>
    </xf>
    <xf numFmtId="0" fontId="62" fillId="0" borderId="12" xfId="0" applyFont="1" applyFill="1" applyBorder="1" applyAlignment="1">
      <alignment vertical="top"/>
    </xf>
    <xf numFmtId="0" fontId="62" fillId="5" borderId="12" xfId="0" applyFont="1" applyFill="1" applyBorder="1" applyAlignment="1">
      <alignment vertical="top"/>
    </xf>
    <xf numFmtId="0" fontId="62" fillId="13" borderId="12" xfId="0" applyFont="1" applyFill="1" applyBorder="1" applyAlignment="1">
      <alignment vertical="top"/>
    </xf>
    <xf numFmtId="0" fontId="62" fillId="0" borderId="12" xfId="0" applyFont="1" applyBorder="1" applyAlignment="1">
      <alignment vertical="top"/>
    </xf>
    <xf numFmtId="0" fontId="60" fillId="0" borderId="96" xfId="0" applyFont="1" applyBorder="1" applyAlignment="1">
      <alignment vertical="top"/>
    </xf>
    <xf numFmtId="0" fontId="60" fillId="0" borderId="0" xfId="0" applyFont="1" applyAlignment="1">
      <alignment vertical="center"/>
    </xf>
    <xf numFmtId="0" fontId="67" fillId="0" borderId="0" xfId="0" applyFont="1" applyAlignment="1">
      <alignment vertical="top"/>
    </xf>
    <xf numFmtId="0" fontId="61" fillId="0" borderId="0" xfId="0" applyFont="1" applyAlignment="1">
      <alignment vertical="top" shrinkToFit="1"/>
    </xf>
    <xf numFmtId="0" fontId="61" fillId="0" borderId="0" xfId="0" applyFont="1" applyBorder="1" applyAlignment="1">
      <alignment horizontal="center" vertical="top"/>
    </xf>
    <xf numFmtId="0" fontId="60" fillId="0" borderId="0" xfId="0" applyFont="1" applyFill="1" applyAlignment="1">
      <alignment horizontal="center" vertical="top"/>
    </xf>
    <xf numFmtId="0" fontId="58" fillId="19" borderId="0" xfId="0" applyFont="1" applyFill="1" applyAlignment="1">
      <alignment horizontal="center" vertical="top"/>
    </xf>
    <xf numFmtId="0" fontId="58" fillId="0" borderId="0" xfId="0" applyFont="1" applyFill="1" applyAlignment="1">
      <alignment horizontal="center" vertical="top"/>
    </xf>
    <xf numFmtId="0" fontId="62" fillId="19" borderId="0" xfId="0" applyFont="1" applyFill="1" applyAlignment="1">
      <alignment vertical="center"/>
    </xf>
    <xf numFmtId="0" fontId="62" fillId="0" borderId="0" xfId="0" applyFont="1" applyBorder="1" applyAlignment="1">
      <alignment vertical="center"/>
    </xf>
    <xf numFmtId="177" fontId="67" fillId="0" borderId="0" xfId="0" applyNumberFormat="1" applyFont="1" applyAlignment="1">
      <alignment vertical="center" shrinkToFit="1"/>
    </xf>
    <xf numFmtId="0" fontId="61" fillId="0" borderId="0" xfId="0" applyFont="1" applyBorder="1" applyAlignment="1">
      <alignment vertical="center"/>
    </xf>
    <xf numFmtId="0" fontId="60" fillId="0" borderId="0" xfId="0" applyFont="1" applyBorder="1" applyAlignment="1">
      <alignment vertical="center"/>
    </xf>
    <xf numFmtId="0" fontId="62" fillId="0" borderId="0" xfId="0" applyFont="1" applyAlignment="1">
      <alignment vertical="center"/>
    </xf>
    <xf numFmtId="0" fontId="62" fillId="19" borderId="0" xfId="0" applyFont="1" applyFill="1" applyAlignment="1">
      <alignment vertical="top"/>
    </xf>
    <xf numFmtId="0" fontId="62" fillId="0" borderId="2" xfId="0" applyFont="1" applyBorder="1" applyAlignment="1">
      <alignment horizontal="center" vertical="top"/>
    </xf>
    <xf numFmtId="0" fontId="62" fillId="0" borderId="1" xfId="0" applyFont="1" applyBorder="1" applyAlignment="1">
      <alignment vertical="top"/>
    </xf>
    <xf numFmtId="0" fontId="61" fillId="0" borderId="0" xfId="0" applyFont="1" applyAlignment="1">
      <alignment horizontal="center" vertical="top"/>
    </xf>
    <xf numFmtId="0" fontId="62" fillId="19" borderId="0" xfId="0" applyFont="1" applyFill="1" applyBorder="1" applyAlignment="1">
      <alignment vertical="top"/>
    </xf>
    <xf numFmtId="0" fontId="60" fillId="0" borderId="0" xfId="0" applyFont="1" applyBorder="1" applyAlignment="1">
      <alignment vertical="top"/>
    </xf>
    <xf numFmtId="0" fontId="60" fillId="19" borderId="0" xfId="0" applyFont="1" applyFill="1" applyBorder="1" applyAlignment="1">
      <alignment vertical="top"/>
    </xf>
    <xf numFmtId="0" fontId="68" fillId="0" borderId="0" xfId="0" applyFont="1" applyAlignment="1">
      <alignment vertical="top"/>
    </xf>
    <xf numFmtId="0" fontId="68" fillId="19" borderId="0" xfId="0" applyFont="1" applyFill="1" applyAlignment="1">
      <alignment vertical="top"/>
    </xf>
    <xf numFmtId="0" fontId="60" fillId="19" borderId="0" xfId="0" applyFont="1" applyFill="1" applyAlignment="1">
      <alignment vertical="top"/>
    </xf>
    <xf numFmtId="0" fontId="62" fillId="19" borderId="0" xfId="0" applyFont="1" applyFill="1" applyAlignment="1">
      <alignment horizontal="center" vertical="top"/>
    </xf>
    <xf numFmtId="0" fontId="69" fillId="0" borderId="0" xfId="0" applyFont="1" applyAlignment="1">
      <alignment vertical="center"/>
    </xf>
    <xf numFmtId="0" fontId="58" fillId="17" borderId="0" xfId="0" applyFont="1" applyFill="1" applyAlignment="1">
      <alignment horizontal="center" vertical="center"/>
    </xf>
    <xf numFmtId="0" fontId="62" fillId="0" borderId="12" xfId="0" applyFont="1" applyFill="1" applyBorder="1" applyAlignment="1">
      <alignment horizontal="center" vertical="top"/>
    </xf>
    <xf numFmtId="0" fontId="62" fillId="0" borderId="7" xfId="0" applyFont="1" applyBorder="1" applyAlignment="1">
      <alignment horizontal="center" vertical="top"/>
    </xf>
    <xf numFmtId="0" fontId="62" fillId="0" borderId="6" xfId="0" applyFont="1" applyBorder="1" applyAlignment="1">
      <alignment horizontal="center" vertical="top"/>
    </xf>
    <xf numFmtId="0" fontId="63" fillId="5" borderId="93" xfId="0" applyFont="1" applyFill="1" applyBorder="1" applyAlignment="1" applyProtection="1">
      <alignment horizontal="center" vertical="top"/>
      <protection locked="0"/>
    </xf>
    <xf numFmtId="0" fontId="63" fillId="5" borderId="94" xfId="0" applyFont="1" applyFill="1" applyBorder="1" applyAlignment="1" applyProtection="1">
      <alignment horizontal="center" vertical="top"/>
      <protection locked="0"/>
    </xf>
    <xf numFmtId="0" fontId="63" fillId="5" borderId="95" xfId="0" applyFont="1" applyFill="1" applyBorder="1" applyAlignment="1" applyProtection="1">
      <alignment horizontal="center" vertical="top"/>
      <protection locked="0"/>
    </xf>
    <xf numFmtId="0" fontId="61" fillId="0" borderId="0" xfId="0" applyFont="1" applyAlignment="1">
      <alignment horizontal="left" vertical="top" wrapText="1"/>
    </xf>
    <xf numFmtId="0" fontId="66" fillId="0" borderId="6" xfId="0" applyFont="1" applyBorder="1" applyAlignment="1">
      <alignment horizontal="center" vertical="top"/>
    </xf>
    <xf numFmtId="0" fontId="66" fillId="0" borderId="84" xfId="0" applyFont="1" applyBorder="1" applyAlignment="1">
      <alignment horizontal="center" vertical="top"/>
    </xf>
    <xf numFmtId="0" fontId="66" fillId="5" borderId="85" xfId="0" applyFont="1" applyFill="1" applyBorder="1" applyAlignment="1" applyProtection="1">
      <alignment horizontal="center" vertical="top"/>
      <protection locked="0"/>
    </xf>
    <xf numFmtId="0" fontId="66" fillId="5" borderId="86" xfId="0" applyFont="1" applyFill="1" applyBorder="1" applyAlignment="1" applyProtection="1">
      <alignment horizontal="center" vertical="top"/>
      <protection locked="0"/>
    </xf>
    <xf numFmtId="0" fontId="66" fillId="5" borderId="87" xfId="0" applyFont="1" applyFill="1" applyBorder="1" applyAlignment="1" applyProtection="1">
      <alignment horizontal="center" vertical="top"/>
      <protection locked="0"/>
    </xf>
    <xf numFmtId="0" fontId="62" fillId="0" borderId="88" xfId="0" applyFont="1" applyFill="1" applyBorder="1" applyAlignment="1" applyProtection="1">
      <alignment horizontal="center" vertical="top"/>
      <protection locked="0"/>
    </xf>
    <xf numFmtId="0" fontId="62" fillId="0" borderId="89" xfId="0" applyFont="1" applyFill="1" applyBorder="1" applyAlignment="1" applyProtection="1">
      <alignment horizontal="center" vertical="top"/>
      <protection locked="0"/>
    </xf>
    <xf numFmtId="0" fontId="62" fillId="0" borderId="90" xfId="0" applyFont="1" applyFill="1" applyBorder="1" applyAlignment="1" applyProtection="1">
      <alignment horizontal="center" vertical="top"/>
      <protection locked="0"/>
    </xf>
    <xf numFmtId="0" fontId="66" fillId="0" borderId="7" xfId="0" applyFont="1" applyBorder="1" applyAlignment="1">
      <alignment horizontal="center" vertical="top"/>
    </xf>
    <xf numFmtId="0" fontId="66" fillId="0" borderId="17" xfId="0" applyFont="1" applyBorder="1" applyAlignment="1">
      <alignment horizontal="center" vertical="top"/>
    </xf>
    <xf numFmtId="0" fontId="63" fillId="5" borderId="91" xfId="0" applyFont="1" applyFill="1" applyBorder="1" applyAlignment="1" applyProtection="1">
      <alignment horizontal="center" vertical="top"/>
      <protection locked="0"/>
    </xf>
    <xf numFmtId="0" fontId="63" fillId="5" borderId="92" xfId="0" applyFont="1" applyFill="1" applyBorder="1" applyAlignment="1" applyProtection="1">
      <alignment horizontal="center" vertical="top"/>
      <protection locked="0"/>
    </xf>
    <xf numFmtId="0" fontId="66" fillId="0" borderId="2" xfId="0" applyFont="1" applyBorder="1" applyAlignment="1">
      <alignment horizontal="left" vertical="top"/>
    </xf>
    <xf numFmtId="0" fontId="66" fillId="0" borderId="3" xfId="0" applyFont="1" applyBorder="1" applyAlignment="1">
      <alignment horizontal="left" vertical="top"/>
    </xf>
    <xf numFmtId="0" fontId="66" fillId="0" borderId="0" xfId="0" applyFont="1" applyBorder="1" applyAlignment="1">
      <alignment horizontal="left" vertical="top"/>
    </xf>
    <xf numFmtId="0" fontId="66" fillId="0" borderId="16" xfId="0" applyFont="1" applyBorder="1" applyAlignment="1">
      <alignment horizontal="left" vertical="top"/>
    </xf>
    <xf numFmtId="0" fontId="62" fillId="0" borderId="49" xfId="0" applyFont="1" applyBorder="1" applyAlignment="1">
      <alignment horizontal="center" vertical="top"/>
    </xf>
    <xf numFmtId="0" fontId="62" fillId="0" borderId="19" xfId="0" applyFont="1" applyBorder="1" applyAlignment="1">
      <alignment horizontal="center" vertical="top"/>
    </xf>
    <xf numFmtId="38" fontId="67" fillId="5" borderId="85" xfId="1" applyFont="1" applyFill="1" applyBorder="1" applyAlignment="1" applyProtection="1">
      <alignment vertical="top"/>
      <protection locked="0"/>
    </xf>
    <xf numFmtId="38" fontId="67" fillId="5" borderId="86" xfId="1" applyFont="1" applyFill="1" applyBorder="1" applyAlignment="1" applyProtection="1">
      <alignment vertical="top"/>
      <protection locked="0"/>
    </xf>
    <xf numFmtId="38" fontId="67" fillId="5" borderId="97" xfId="1" applyFont="1" applyFill="1" applyBorder="1" applyAlignment="1" applyProtection="1">
      <alignment vertical="top"/>
      <protection locked="0"/>
    </xf>
    <xf numFmtId="38" fontId="67" fillId="5" borderId="98" xfId="1" applyFont="1" applyFill="1" applyBorder="1" applyAlignment="1" applyProtection="1">
      <alignment vertical="top"/>
      <protection locked="0"/>
    </xf>
    <xf numFmtId="38" fontId="67" fillId="5" borderId="99" xfId="1" applyFont="1" applyFill="1" applyBorder="1" applyAlignment="1" applyProtection="1">
      <alignment vertical="top"/>
      <protection locked="0"/>
    </xf>
    <xf numFmtId="38" fontId="67" fillId="5" borderId="100" xfId="1" applyFont="1" applyFill="1" applyBorder="1" applyAlignment="1" applyProtection="1">
      <alignment vertical="top"/>
      <protection locked="0"/>
    </xf>
    <xf numFmtId="38" fontId="67" fillId="5" borderId="103" xfId="1" applyFont="1" applyFill="1" applyBorder="1" applyAlignment="1" applyProtection="1">
      <alignment vertical="top"/>
      <protection locked="0"/>
    </xf>
    <xf numFmtId="38" fontId="67" fillId="5" borderId="104" xfId="1" applyFont="1" applyFill="1" applyBorder="1" applyAlignment="1" applyProtection="1">
      <alignment vertical="top"/>
      <protection locked="0"/>
    </xf>
    <xf numFmtId="38" fontId="67" fillId="5" borderId="106" xfId="1" applyFont="1" applyFill="1" applyBorder="1" applyAlignment="1" applyProtection="1">
      <alignment vertical="top"/>
      <protection locked="0"/>
    </xf>
    <xf numFmtId="0" fontId="62" fillId="0" borderId="2" xfId="0" applyFont="1" applyBorder="1" applyAlignment="1">
      <alignment horizontal="center" vertical="top"/>
    </xf>
    <xf numFmtId="38" fontId="67" fillId="5" borderId="101" xfId="1" applyFont="1" applyFill="1" applyBorder="1" applyAlignment="1" applyProtection="1">
      <alignment vertical="top"/>
      <protection locked="0"/>
    </xf>
    <xf numFmtId="38" fontId="67" fillId="5" borderId="6" xfId="1" applyFont="1" applyFill="1" applyBorder="1" applyAlignment="1" applyProtection="1">
      <alignment vertical="top"/>
      <protection locked="0"/>
    </xf>
    <xf numFmtId="38" fontId="67" fillId="5" borderId="2" xfId="1" applyFont="1" applyFill="1" applyBorder="1" applyAlignment="1" applyProtection="1">
      <alignment vertical="top"/>
      <protection locked="0"/>
    </xf>
    <xf numFmtId="38" fontId="67" fillId="5" borderId="3" xfId="1" applyFont="1" applyFill="1" applyBorder="1" applyAlignment="1" applyProtection="1">
      <alignment vertical="top"/>
      <protection locked="0"/>
    </xf>
    <xf numFmtId="38" fontId="67" fillId="5" borderId="1" xfId="1" applyFont="1" applyFill="1" applyBorder="1" applyAlignment="1" applyProtection="1">
      <alignment vertical="top"/>
      <protection locked="0"/>
    </xf>
    <xf numFmtId="38" fontId="67" fillId="5" borderId="102" xfId="1" applyFont="1" applyFill="1" applyBorder="1" applyAlignment="1" applyProtection="1">
      <alignment vertical="top"/>
      <protection locked="0"/>
    </xf>
    <xf numFmtId="38" fontId="67" fillId="5" borderId="91" xfId="1" applyFont="1" applyFill="1" applyBorder="1" applyAlignment="1" applyProtection="1">
      <alignment vertical="top"/>
      <protection locked="0"/>
    </xf>
    <xf numFmtId="38" fontId="67" fillId="5" borderId="92" xfId="1" applyFont="1" applyFill="1" applyBorder="1" applyAlignment="1" applyProtection="1">
      <alignment vertical="top"/>
      <protection locked="0"/>
    </xf>
    <xf numFmtId="38" fontId="67" fillId="5" borderId="105" xfId="1" applyFont="1" applyFill="1" applyBorder="1" applyAlignment="1" applyProtection="1">
      <alignment vertical="top"/>
      <protection locked="0"/>
    </xf>
    <xf numFmtId="0" fontId="58" fillId="19" borderId="0" xfId="0" applyFont="1" applyFill="1" applyAlignment="1">
      <alignment horizontal="center" vertical="top"/>
    </xf>
    <xf numFmtId="38" fontId="67" fillId="0" borderId="49" xfId="1" applyFont="1" applyFill="1" applyBorder="1" applyAlignment="1">
      <alignment vertical="top"/>
    </xf>
    <xf numFmtId="0" fontId="67" fillId="0" borderId="0" xfId="0" applyFont="1" applyAlignment="1">
      <alignment horizontal="center" vertical="top" shrinkToFit="1"/>
    </xf>
    <xf numFmtId="0" fontId="67" fillId="0" borderId="0" xfId="0" applyFont="1" applyAlignment="1">
      <alignment horizontal="center" vertical="top"/>
    </xf>
    <xf numFmtId="0" fontId="67" fillId="0" borderId="8" xfId="0" applyFont="1" applyBorder="1" applyAlignment="1">
      <alignment horizontal="center" vertical="top"/>
    </xf>
    <xf numFmtId="0" fontId="60" fillId="0" borderId="47" xfId="0" applyFont="1" applyBorder="1" applyAlignment="1">
      <alignment horizontal="center" vertical="center"/>
    </xf>
    <xf numFmtId="0" fontId="60" fillId="0" borderId="10" xfId="0" applyFont="1" applyBorder="1" applyAlignment="1">
      <alignment horizontal="center" vertical="center"/>
    </xf>
    <xf numFmtId="0" fontId="60" fillId="0" borderId="11" xfId="0" applyFont="1" applyBorder="1" applyAlignment="1">
      <alignment horizontal="center" vertical="center"/>
    </xf>
    <xf numFmtId="0" fontId="60" fillId="0" borderId="48" xfId="0" applyFont="1" applyBorder="1" applyAlignment="1">
      <alignment horizontal="center" vertical="center"/>
    </xf>
    <xf numFmtId="0" fontId="60" fillId="0" borderId="14" xfId="0" applyFont="1" applyBorder="1" applyAlignment="1">
      <alignment horizontal="center" vertical="center"/>
    </xf>
    <xf numFmtId="0" fontId="60" fillId="0" borderId="15" xfId="0" applyFont="1" applyBorder="1" applyAlignment="1">
      <alignment horizontal="center" vertical="center"/>
    </xf>
    <xf numFmtId="38" fontId="60" fillId="0" borderId="47" xfId="0" applyNumberFormat="1" applyFont="1" applyBorder="1" applyAlignment="1">
      <alignment horizontal="right" vertical="center"/>
    </xf>
    <xf numFmtId="0" fontId="60" fillId="0" borderId="10" xfId="0" applyFont="1" applyBorder="1" applyAlignment="1">
      <alignment horizontal="right" vertical="center"/>
    </xf>
    <xf numFmtId="0" fontId="60" fillId="0" borderId="48" xfId="0" applyFont="1" applyBorder="1" applyAlignment="1">
      <alignment horizontal="right" vertical="center"/>
    </xf>
    <xf numFmtId="0" fontId="60" fillId="0" borderId="14" xfId="0" applyFont="1" applyBorder="1" applyAlignment="1">
      <alignment horizontal="right" vertical="center"/>
    </xf>
    <xf numFmtId="0" fontId="62" fillId="0" borderId="3" xfId="0" applyFont="1" applyBorder="1" applyAlignment="1">
      <alignment horizontal="left" vertical="top"/>
    </xf>
    <xf numFmtId="0" fontId="62" fillId="0" borderId="1" xfId="0" applyFont="1" applyBorder="1" applyAlignment="1">
      <alignment horizontal="left" vertical="top"/>
    </xf>
    <xf numFmtId="181" fontId="60" fillId="0" borderId="2" xfId="0" applyNumberFormat="1" applyFont="1" applyBorder="1" applyAlignment="1">
      <alignment horizontal="right" vertical="top"/>
    </xf>
    <xf numFmtId="0" fontId="60" fillId="0" borderId="3" xfId="0" applyFont="1" applyBorder="1" applyAlignment="1">
      <alignment horizontal="right" vertical="top"/>
    </xf>
    <xf numFmtId="0" fontId="62" fillId="0" borderId="3" xfId="0" applyFont="1" applyBorder="1" applyAlignment="1">
      <alignment horizontal="center" vertical="top"/>
    </xf>
    <xf numFmtId="0" fontId="62" fillId="0" borderId="1" xfId="0" applyFont="1" applyBorder="1" applyAlignment="1">
      <alignment horizontal="center" vertical="top"/>
    </xf>
    <xf numFmtId="0" fontId="61" fillId="0" borderId="12" xfId="0" applyFont="1" applyBorder="1" applyAlignment="1">
      <alignment horizontal="left" vertical="center" shrinkToFit="1"/>
    </xf>
    <xf numFmtId="0" fontId="61" fillId="0" borderId="0" xfId="0" applyFont="1" applyBorder="1" applyAlignment="1">
      <alignment horizontal="left" vertical="center" shrinkToFit="1"/>
    </xf>
    <xf numFmtId="0" fontId="8" fillId="15" borderId="2" xfId="0" applyFont="1" applyFill="1" applyBorder="1" applyAlignment="1">
      <alignment horizontal="center" vertical="center" shrinkToFit="1"/>
    </xf>
    <xf numFmtId="0" fontId="8" fillId="15" borderId="3" xfId="0" applyFont="1" applyFill="1" applyBorder="1" applyAlignment="1">
      <alignment horizontal="center" vertical="center" shrinkToFit="1"/>
    </xf>
    <xf numFmtId="0" fontId="8" fillId="15" borderId="1" xfId="0" applyFont="1" applyFill="1" applyBorder="1" applyAlignment="1">
      <alignment horizontal="center" vertical="center" shrinkToFit="1"/>
    </xf>
    <xf numFmtId="185" fontId="17" fillId="0" borderId="54" xfId="0" applyNumberFormat="1" applyFont="1" applyFill="1" applyBorder="1" applyAlignment="1">
      <alignment horizontal="center" shrinkToFit="1"/>
    </xf>
    <xf numFmtId="0" fontId="13" fillId="13" borderId="2" xfId="0" applyFont="1" applyFill="1" applyBorder="1" applyAlignment="1">
      <alignment horizontal="center" vertical="center"/>
    </xf>
    <xf numFmtId="0" fontId="13" fillId="13" borderId="3" xfId="0" applyFont="1" applyFill="1" applyBorder="1" applyAlignment="1">
      <alignment horizontal="center" vertical="center"/>
    </xf>
    <xf numFmtId="0" fontId="13" fillId="13" borderId="1" xfId="0" applyFont="1" applyFill="1" applyBorder="1" applyAlignment="1">
      <alignment horizontal="center" vertical="center"/>
    </xf>
    <xf numFmtId="38" fontId="13" fillId="13" borderId="6" xfId="1" applyFont="1" applyFill="1" applyBorder="1" applyAlignment="1">
      <alignment vertical="center" shrinkToFit="1"/>
    </xf>
    <xf numFmtId="0" fontId="13" fillId="15" borderId="6" xfId="0" applyFont="1" applyFill="1" applyBorder="1" applyAlignment="1">
      <alignment horizontal="center" vertical="center"/>
    </xf>
    <xf numFmtId="180" fontId="13" fillId="13" borderId="6" xfId="1" applyNumberFormat="1" applyFont="1" applyFill="1" applyBorder="1" applyAlignment="1" applyProtection="1">
      <alignment vertical="center" shrinkToFit="1"/>
      <protection locked="0"/>
    </xf>
    <xf numFmtId="38" fontId="13" fillId="13" borderId="2" xfId="1" applyFont="1" applyFill="1" applyBorder="1" applyAlignment="1">
      <alignment vertical="center"/>
    </xf>
    <xf numFmtId="38" fontId="13" fillId="13" borderId="3" xfId="1" applyFont="1" applyFill="1" applyBorder="1" applyAlignment="1">
      <alignment vertical="center"/>
    </xf>
    <xf numFmtId="38" fontId="13" fillId="13" borderId="1" xfId="1" applyFont="1" applyFill="1" applyBorder="1" applyAlignment="1">
      <alignment vertical="center"/>
    </xf>
    <xf numFmtId="180" fontId="13" fillId="13" borderId="6" xfId="1" applyNumberFormat="1" applyFont="1" applyFill="1" applyBorder="1" applyAlignment="1">
      <alignment vertical="center" shrinkToFit="1"/>
    </xf>
    <xf numFmtId="180" fontId="13" fillId="13" borderId="6" xfId="0" applyNumberFormat="1" applyFont="1" applyFill="1" applyBorder="1" applyAlignment="1">
      <alignment vertical="center"/>
    </xf>
    <xf numFmtId="0" fontId="11" fillId="15" borderId="6" xfId="0" applyFont="1" applyFill="1" applyBorder="1" applyAlignment="1">
      <alignment horizontal="center" vertical="center"/>
    </xf>
    <xf numFmtId="180" fontId="13" fillId="13" borderId="2" xfId="0" applyNumberFormat="1" applyFont="1" applyFill="1" applyBorder="1" applyAlignment="1">
      <alignment vertical="center" shrinkToFit="1"/>
    </xf>
    <xf numFmtId="180" fontId="13" fillId="13" borderId="3" xfId="0" applyNumberFormat="1" applyFont="1" applyFill="1" applyBorder="1" applyAlignment="1">
      <alignment vertical="center" shrinkToFit="1"/>
    </xf>
    <xf numFmtId="180" fontId="13" fillId="13" borderId="1" xfId="0" applyNumberFormat="1" applyFont="1" applyFill="1" applyBorder="1" applyAlignment="1">
      <alignment vertical="center" shrinkToFit="1"/>
    </xf>
    <xf numFmtId="181" fontId="8" fillId="13" borderId="2" xfId="0" applyNumberFormat="1" applyFont="1" applyFill="1" applyBorder="1" applyAlignment="1">
      <alignment vertical="center" shrinkToFit="1"/>
    </xf>
    <xf numFmtId="181" fontId="8" fillId="13" borderId="3" xfId="0" applyNumberFormat="1" applyFont="1" applyFill="1" applyBorder="1" applyAlignment="1">
      <alignment vertical="center" shrinkToFit="1"/>
    </xf>
    <xf numFmtId="181" fontId="8" fillId="13" borderId="1" xfId="0" applyNumberFormat="1" applyFont="1" applyFill="1" applyBorder="1" applyAlignment="1">
      <alignment vertical="center" shrinkToFit="1"/>
    </xf>
    <xf numFmtId="0" fontId="8" fillId="13" borderId="3" xfId="0" applyFont="1" applyFill="1" applyBorder="1" applyAlignment="1">
      <alignment vertical="center" shrinkToFit="1"/>
    </xf>
    <xf numFmtId="0" fontId="8" fillId="13" borderId="1" xfId="0" applyFont="1" applyFill="1" applyBorder="1" applyAlignment="1">
      <alignment vertical="center" shrinkToFit="1"/>
    </xf>
    <xf numFmtId="0" fontId="8" fillId="15" borderId="6" xfId="0" applyFont="1" applyFill="1" applyBorder="1" applyAlignment="1">
      <alignment vertical="center" shrinkToFit="1"/>
    </xf>
    <xf numFmtId="0" fontId="8" fillId="13" borderId="6" xfId="0" applyFont="1" applyFill="1" applyBorder="1" applyAlignment="1">
      <alignment horizontal="center" vertical="center"/>
    </xf>
    <xf numFmtId="184" fontId="13" fillId="13" borderId="2" xfId="0" applyNumberFormat="1" applyFont="1" applyFill="1" applyBorder="1" applyAlignment="1">
      <alignment horizontal="center" vertical="center"/>
    </xf>
    <xf numFmtId="184" fontId="13" fillId="13" borderId="3" xfId="0" applyNumberFormat="1" applyFont="1" applyFill="1" applyBorder="1" applyAlignment="1">
      <alignment horizontal="center" vertical="center"/>
    </xf>
    <xf numFmtId="184" fontId="13" fillId="13" borderId="1" xfId="0" applyNumberFormat="1" applyFont="1" applyFill="1" applyBorder="1" applyAlignment="1">
      <alignment horizontal="center" vertical="center"/>
    </xf>
    <xf numFmtId="0" fontId="13" fillId="13" borderId="2" xfId="0" applyFont="1" applyFill="1" applyBorder="1" applyAlignment="1">
      <alignment horizontal="center" vertical="center" shrinkToFit="1"/>
    </xf>
    <xf numFmtId="0" fontId="13" fillId="13" borderId="3" xfId="0" applyFont="1" applyFill="1" applyBorder="1" applyAlignment="1">
      <alignment horizontal="center" vertical="center" shrinkToFit="1"/>
    </xf>
    <xf numFmtId="0" fontId="13" fillId="13" borderId="1" xfId="0" applyFont="1" applyFill="1" applyBorder="1" applyAlignment="1">
      <alignment horizontal="center" vertical="center" shrinkToFit="1"/>
    </xf>
    <xf numFmtId="0" fontId="13" fillId="15" borderId="6" xfId="0" applyFont="1" applyFill="1" applyBorder="1" applyAlignment="1">
      <alignment vertical="center"/>
    </xf>
    <xf numFmtId="0" fontId="29" fillId="20" borderId="6" xfId="0" applyFont="1" applyFill="1" applyBorder="1" applyAlignment="1" applyProtection="1">
      <alignment horizontal="center" vertical="center" shrinkToFit="1"/>
      <protection locked="0"/>
    </xf>
    <xf numFmtId="0" fontId="34" fillId="0" borderId="0" xfId="0" applyFont="1" applyAlignment="1">
      <alignment horizontal="center" vertical="center"/>
    </xf>
    <xf numFmtId="180" fontId="13" fillId="13" borderId="6" xfId="1" applyNumberFormat="1" applyFont="1" applyFill="1" applyBorder="1" applyAlignment="1">
      <alignment vertical="center"/>
    </xf>
    <xf numFmtId="38" fontId="36" fillId="3" borderId="6" xfId="1" applyFont="1" applyFill="1" applyBorder="1" applyAlignment="1" applyProtection="1">
      <alignment vertical="center" shrinkToFit="1"/>
      <protection locked="0"/>
    </xf>
    <xf numFmtId="38" fontId="29" fillId="5" borderId="75" xfId="1" applyFont="1" applyFill="1" applyBorder="1" applyAlignment="1">
      <alignment horizontal="center" vertical="center" shrinkToFit="1"/>
    </xf>
    <xf numFmtId="0" fontId="13" fillId="13" borderId="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3" fillId="0" borderId="58" xfId="0" applyFont="1" applyFill="1" applyBorder="1" applyAlignment="1" applyProtection="1">
      <alignment horizontal="center" vertical="center"/>
      <protection locked="0"/>
    </xf>
    <xf numFmtId="0" fontId="13" fillId="0" borderId="55" xfId="0" applyFont="1" applyFill="1" applyBorder="1" applyAlignment="1" applyProtection="1">
      <alignment horizontal="center" vertical="center"/>
      <protection locked="0"/>
    </xf>
    <xf numFmtId="190" fontId="13" fillId="0" borderId="52" xfId="0" applyNumberFormat="1" applyFont="1" applyFill="1" applyBorder="1" applyAlignment="1">
      <alignment horizontal="center" vertical="center"/>
    </xf>
    <xf numFmtId="190" fontId="13" fillId="0" borderId="53" xfId="0" applyNumberFormat="1" applyFont="1" applyFill="1" applyBorder="1" applyAlignment="1">
      <alignment horizontal="center" vertical="center"/>
    </xf>
    <xf numFmtId="190" fontId="13" fillId="0" borderId="51" xfId="0" applyNumberFormat="1" applyFont="1" applyFill="1" applyBorder="1" applyAlignment="1">
      <alignment horizontal="center" vertical="center"/>
    </xf>
    <xf numFmtId="38" fontId="13" fillId="0" borderId="58" xfId="0" applyNumberFormat="1" applyFont="1" applyFill="1" applyBorder="1" applyAlignment="1" applyProtection="1">
      <alignment horizontal="center" vertical="center"/>
      <protection locked="0"/>
    </xf>
    <xf numFmtId="38" fontId="13" fillId="0" borderId="55" xfId="0" applyNumberFormat="1" applyFont="1" applyFill="1" applyBorder="1" applyAlignment="1" applyProtection="1">
      <alignment horizontal="center" vertical="center"/>
      <protection locked="0"/>
    </xf>
    <xf numFmtId="38" fontId="11" fillId="0" borderId="68" xfId="1" applyFont="1" applyFill="1" applyBorder="1" applyAlignment="1">
      <alignment horizontal="center" vertical="center"/>
    </xf>
    <xf numFmtId="38" fontId="13" fillId="0" borderId="68" xfId="1" applyFont="1" applyFill="1" applyBorder="1" applyAlignment="1">
      <alignment horizontal="center" vertical="center"/>
    </xf>
    <xf numFmtId="38" fontId="13" fillId="0" borderId="76" xfId="1" applyFont="1" applyFill="1" applyBorder="1" applyAlignment="1">
      <alignment horizontal="center" vertical="center"/>
    </xf>
    <xf numFmtId="0" fontId="29" fillId="9" borderId="2" xfId="0" applyFont="1" applyFill="1" applyBorder="1" applyAlignment="1" applyProtection="1">
      <alignment horizontal="center" vertical="center" shrinkToFit="1"/>
      <protection locked="0"/>
    </xf>
    <xf numFmtId="0" fontId="29" fillId="9" borderId="3" xfId="0" applyFont="1" applyFill="1" applyBorder="1" applyAlignment="1" applyProtection="1">
      <alignment horizontal="center" vertical="center" shrinkToFit="1"/>
      <protection locked="0"/>
    </xf>
    <xf numFmtId="0" fontId="29" fillId="9" borderId="1" xfId="0" applyFont="1" applyFill="1" applyBorder="1" applyAlignment="1" applyProtection="1">
      <alignment horizontal="center" vertical="center" shrinkToFit="1"/>
      <protection locked="0"/>
    </xf>
    <xf numFmtId="0" fontId="11" fillId="0" borderId="68" xfId="0" applyFont="1" applyFill="1" applyBorder="1" applyAlignment="1">
      <alignment horizontal="center" vertical="center"/>
    </xf>
    <xf numFmtId="38" fontId="31" fillId="0" borderId="81" xfId="1" applyFont="1" applyFill="1" applyBorder="1" applyAlignment="1">
      <alignment horizontal="center" vertical="center"/>
    </xf>
    <xf numFmtId="38" fontId="31" fillId="0" borderId="73" xfId="1" applyFont="1" applyFill="1" applyBorder="1" applyAlignment="1">
      <alignment horizontal="center" vertical="center"/>
    </xf>
    <xf numFmtId="38" fontId="31" fillId="0" borderId="74" xfId="1" applyFont="1" applyFill="1" applyBorder="1" applyAlignment="1">
      <alignment horizontal="center" vertical="center"/>
    </xf>
    <xf numFmtId="38" fontId="29" fillId="0" borderId="72" xfId="1" applyFont="1" applyFill="1" applyBorder="1" applyAlignment="1">
      <alignment horizontal="center" vertical="center" shrinkToFit="1"/>
    </xf>
    <xf numFmtId="38" fontId="29" fillId="0" borderId="79" xfId="1" applyFont="1" applyFill="1" applyBorder="1" applyAlignment="1">
      <alignment horizontal="center" vertical="center" shrinkToFit="1"/>
    </xf>
    <xf numFmtId="0" fontId="13" fillId="0" borderId="0" xfId="0" applyFont="1" applyFill="1" applyBorder="1" applyAlignment="1">
      <alignment horizontal="right" vertical="center" shrinkToFit="1"/>
    </xf>
    <xf numFmtId="0" fontId="11" fillId="0" borderId="67" xfId="0" applyFont="1" applyFill="1" applyBorder="1" applyAlignment="1">
      <alignment horizontal="center" vertical="center"/>
    </xf>
    <xf numFmtId="186" fontId="13" fillId="0" borderId="52" xfId="0" applyNumberFormat="1" applyFont="1" applyFill="1" applyBorder="1" applyAlignment="1">
      <alignment horizontal="center" vertical="center"/>
    </xf>
    <xf numFmtId="186" fontId="13" fillId="0" borderId="53" xfId="0" applyNumberFormat="1" applyFont="1" applyFill="1" applyBorder="1" applyAlignment="1">
      <alignment horizontal="center" vertical="center"/>
    </xf>
    <xf numFmtId="186" fontId="13" fillId="0" borderId="51" xfId="0" applyNumberFormat="1" applyFont="1" applyFill="1" applyBorder="1" applyAlignment="1">
      <alignment horizontal="center" vertical="center"/>
    </xf>
    <xf numFmtId="0" fontId="13" fillId="0" borderId="80"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70" xfId="0" applyFont="1" applyFill="1" applyBorder="1" applyAlignment="1">
      <alignment horizontal="center" vertical="center"/>
    </xf>
    <xf numFmtId="38" fontId="29" fillId="0" borderId="71" xfId="1" applyFont="1" applyFill="1" applyBorder="1" applyAlignment="1">
      <alignment horizontal="center" vertical="center" shrinkToFit="1"/>
    </xf>
    <xf numFmtId="184" fontId="48" fillId="0" borderId="17" xfId="0" applyNumberFormat="1" applyFont="1" applyFill="1" applyBorder="1" applyAlignment="1">
      <alignment horizontal="right" vertical="center"/>
    </xf>
    <xf numFmtId="184" fontId="48" fillId="0" borderId="8" xfId="0" applyNumberFormat="1" applyFont="1" applyFill="1" applyBorder="1" applyAlignment="1">
      <alignment horizontal="right" vertical="center"/>
    </xf>
    <xf numFmtId="184" fontId="48" fillId="0" borderId="19" xfId="0" applyNumberFormat="1" applyFont="1" applyFill="1" applyBorder="1" applyAlignment="1">
      <alignment horizontal="right" vertical="center"/>
    </xf>
    <xf numFmtId="184" fontId="48" fillId="0" borderId="12" xfId="0" applyNumberFormat="1" applyFont="1" applyFill="1" applyBorder="1" applyAlignment="1">
      <alignment horizontal="right" vertical="center"/>
    </xf>
    <xf numFmtId="38" fontId="37" fillId="0" borderId="6" xfId="1" applyFont="1" applyFill="1" applyBorder="1" applyAlignment="1" applyProtection="1">
      <alignment horizontal="center" vertical="center" shrinkToFit="1"/>
    </xf>
    <xf numFmtId="38" fontId="36" fillId="0" borderId="6" xfId="1" applyFont="1" applyFill="1" applyBorder="1" applyAlignment="1">
      <alignment vertical="center" shrinkToFit="1"/>
    </xf>
    <xf numFmtId="38" fontId="29" fillId="5" borderId="55" xfId="1" applyFont="1" applyFill="1" applyBorder="1" applyAlignment="1">
      <alignment horizontal="center" vertical="center" shrinkToFit="1"/>
    </xf>
    <xf numFmtId="38" fontId="11" fillId="0" borderId="67" xfId="1" applyFont="1" applyFill="1" applyBorder="1" applyAlignment="1">
      <alignment horizontal="center" vertical="center"/>
    </xf>
    <xf numFmtId="0" fontId="8" fillId="0" borderId="47"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184" fontId="48" fillId="0" borderId="47" xfId="0" applyNumberFormat="1" applyFont="1" applyFill="1" applyBorder="1" applyAlignment="1">
      <alignment horizontal="right" vertical="center"/>
    </xf>
    <xf numFmtId="184" fontId="48" fillId="0" borderId="10" xfId="0" applyNumberFormat="1" applyFont="1" applyFill="1" applyBorder="1" applyAlignment="1">
      <alignment horizontal="right" vertical="center"/>
    </xf>
    <xf numFmtId="184" fontId="48" fillId="0" borderId="48" xfId="0" applyNumberFormat="1" applyFont="1" applyFill="1" applyBorder="1" applyAlignment="1">
      <alignment horizontal="right" vertical="center"/>
    </xf>
    <xf numFmtId="184" fontId="48" fillId="0" borderId="14" xfId="0" applyNumberFormat="1" applyFont="1" applyFill="1" applyBorder="1" applyAlignment="1">
      <alignment horizontal="right" vertical="center"/>
    </xf>
    <xf numFmtId="0" fontId="8" fillId="0" borderId="1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194" fontId="30" fillId="0" borderId="0" xfId="0" applyNumberFormat="1" applyFont="1" applyAlignment="1">
      <alignment horizontal="center" vertical="center"/>
    </xf>
    <xf numFmtId="0" fontId="38" fillId="0" borderId="0" xfId="0" applyFont="1" applyBorder="1" applyAlignment="1">
      <alignment horizontal="center" vertical="center"/>
    </xf>
    <xf numFmtId="0" fontId="40" fillId="0" borderId="21"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22"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39" xfId="0" applyFont="1" applyBorder="1" applyAlignment="1">
      <alignment horizontal="center" vertical="center" shrinkToFit="1"/>
    </xf>
    <xf numFmtId="0" fontId="40" fillId="0" borderId="40" xfId="0" applyFont="1" applyBorder="1" applyAlignment="1">
      <alignment horizontal="center" vertical="center" shrinkToFit="1"/>
    </xf>
    <xf numFmtId="0" fontId="40" fillId="0" borderId="41"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43"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177" fontId="28" fillId="0" borderId="42" xfId="0" applyNumberFormat="1" applyFont="1" applyFill="1" applyBorder="1" applyAlignment="1" applyProtection="1">
      <alignment vertical="center"/>
      <protection locked="0"/>
    </xf>
    <xf numFmtId="177" fontId="28" fillId="0" borderId="22" xfId="0" applyNumberFormat="1" applyFont="1" applyFill="1" applyBorder="1" applyAlignment="1" applyProtection="1">
      <alignment vertical="center"/>
      <protection locked="0"/>
    </xf>
    <xf numFmtId="177" fontId="28" fillId="0" borderId="19" xfId="0" applyNumberFormat="1" applyFont="1" applyFill="1" applyBorder="1" applyAlignment="1" applyProtection="1">
      <alignment vertical="center"/>
      <protection locked="0"/>
    </xf>
    <xf numFmtId="177" fontId="28" fillId="0" borderId="23" xfId="0" applyNumberFormat="1" applyFont="1" applyFill="1" applyBorder="1" applyAlignment="1" applyProtection="1">
      <alignment vertical="center"/>
      <protection locked="0"/>
    </xf>
    <xf numFmtId="0" fontId="29" fillId="20" borderId="2" xfId="0" applyFont="1" applyFill="1" applyBorder="1" applyAlignment="1" applyProtection="1">
      <alignment horizontal="center" vertical="center" shrinkToFit="1"/>
      <protection locked="0"/>
    </xf>
    <xf numFmtId="0" fontId="29" fillId="20" borderId="3" xfId="0" applyFont="1" applyFill="1" applyBorder="1" applyAlignment="1" applyProtection="1">
      <alignment horizontal="center" vertical="center" shrinkToFit="1"/>
      <protection locked="0"/>
    </xf>
    <xf numFmtId="0" fontId="29" fillId="20" borderId="1" xfId="0" applyFont="1" applyFill="1" applyBorder="1" applyAlignment="1" applyProtection="1">
      <alignment horizontal="center" vertical="center" shrinkToFit="1"/>
      <protection locked="0"/>
    </xf>
    <xf numFmtId="0" fontId="29" fillId="0" borderId="1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44" xfId="0" applyFont="1" applyBorder="1" applyAlignment="1">
      <alignment horizontal="center" vertical="center" shrinkToFit="1"/>
    </xf>
    <xf numFmtId="0" fontId="29" fillId="0" borderId="40" xfId="0" applyFont="1" applyBorder="1" applyAlignment="1">
      <alignment horizontal="center" vertical="center" shrinkToFit="1"/>
    </xf>
    <xf numFmtId="0" fontId="29" fillId="0" borderId="45" xfId="0" applyFont="1" applyBorder="1" applyAlignment="1">
      <alignment horizontal="center" vertical="center" shrinkToFit="1"/>
    </xf>
    <xf numFmtId="177" fontId="28" fillId="0" borderId="17" xfId="0" applyNumberFormat="1" applyFont="1" applyBorder="1" applyAlignment="1">
      <alignment vertical="center"/>
    </xf>
    <xf numFmtId="177" fontId="28" fillId="0" borderId="46" xfId="0" applyNumberFormat="1" applyFont="1" applyBorder="1" applyAlignment="1">
      <alignment vertical="center"/>
    </xf>
    <xf numFmtId="177" fontId="28" fillId="0" borderId="44" xfId="0" applyNumberFormat="1" applyFont="1" applyBorder="1" applyAlignment="1">
      <alignment vertical="center"/>
    </xf>
    <xf numFmtId="177" fontId="28" fillId="0" borderId="41" xfId="0" applyNumberFormat="1" applyFont="1" applyBorder="1" applyAlignment="1">
      <alignment vertical="center"/>
    </xf>
    <xf numFmtId="0" fontId="39" fillId="0" borderId="21"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38"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39" xfId="0" applyFont="1" applyBorder="1" applyAlignment="1">
      <alignment horizontal="center" vertical="center" shrinkToFit="1"/>
    </xf>
    <xf numFmtId="0" fontId="39" fillId="0" borderId="40" xfId="0" applyFont="1" applyBorder="1" applyAlignment="1">
      <alignment horizontal="center" vertical="center" shrinkToFit="1"/>
    </xf>
    <xf numFmtId="0" fontId="29" fillId="3" borderId="6" xfId="0" applyFont="1" applyFill="1" applyBorder="1" applyAlignment="1" applyProtection="1">
      <alignment horizontal="center" vertical="center" shrinkToFit="1"/>
      <protection locked="0"/>
    </xf>
    <xf numFmtId="38" fontId="36" fillId="20" borderId="6" xfId="1" applyFont="1" applyFill="1" applyBorder="1" applyAlignment="1" applyProtection="1">
      <alignment vertical="center" shrinkToFit="1"/>
      <protection locked="0"/>
    </xf>
    <xf numFmtId="0" fontId="29" fillId="9" borderId="6" xfId="0" applyFont="1" applyFill="1" applyBorder="1" applyAlignment="1" applyProtection="1">
      <alignment horizontal="center" vertical="center" shrinkToFit="1"/>
      <protection locked="0"/>
    </xf>
    <xf numFmtId="0" fontId="34" fillId="0" borderId="0" xfId="0" applyFont="1" applyAlignment="1">
      <alignment horizontal="center" vertical="center" shrinkToFit="1"/>
    </xf>
    <xf numFmtId="0" fontId="38" fillId="0" borderId="6" xfId="0" applyFont="1" applyBorder="1" applyAlignment="1">
      <alignment horizontal="center" vertical="center"/>
    </xf>
    <xf numFmtId="0" fontId="36" fillId="9" borderId="2" xfId="0" applyFont="1" applyFill="1" applyBorder="1" applyAlignment="1" applyProtection="1">
      <alignment horizontal="center" vertical="center" shrinkToFit="1"/>
      <protection locked="0"/>
    </xf>
    <xf numFmtId="0" fontId="36" fillId="9" borderId="3" xfId="0" applyFont="1" applyFill="1" applyBorder="1" applyAlignment="1" applyProtection="1">
      <alignment horizontal="center" vertical="center" shrinkToFit="1"/>
      <protection locked="0"/>
    </xf>
    <xf numFmtId="0" fontId="36" fillId="9" borderId="1" xfId="0" applyFont="1" applyFill="1" applyBorder="1" applyAlignment="1" applyProtection="1">
      <alignment horizontal="center" vertical="center" shrinkToFit="1"/>
      <protection locked="0"/>
    </xf>
    <xf numFmtId="38" fontId="36" fillId="3" borderId="2" xfId="1" applyFont="1" applyFill="1" applyBorder="1" applyAlignment="1" applyProtection="1">
      <alignment vertical="center" shrinkToFit="1"/>
      <protection locked="0"/>
    </xf>
    <xf numFmtId="38" fontId="36" fillId="3" borderId="3" xfId="1" applyFont="1" applyFill="1" applyBorder="1" applyAlignment="1" applyProtection="1">
      <alignment vertical="center" shrinkToFit="1"/>
      <protection locked="0"/>
    </xf>
    <xf numFmtId="38" fontId="36" fillId="3" borderId="1" xfId="1" applyFont="1" applyFill="1" applyBorder="1" applyAlignment="1" applyProtection="1">
      <alignment vertical="center" shrinkToFit="1"/>
      <protection locked="0"/>
    </xf>
    <xf numFmtId="0" fontId="46" fillId="0" borderId="21" xfId="0" applyFont="1" applyBorder="1" applyAlignment="1">
      <alignment horizontal="center" vertical="center" shrinkToFit="1"/>
    </xf>
    <xf numFmtId="0" fontId="46" fillId="0" borderId="5" xfId="0" applyFont="1" applyBorder="1" applyAlignment="1">
      <alignment horizontal="center" vertical="center" shrinkToFit="1"/>
    </xf>
    <xf numFmtId="0" fontId="46" fillId="0" borderId="22" xfId="0" applyFont="1" applyBorder="1" applyAlignment="1">
      <alignment horizontal="center" vertical="center" shrinkToFit="1"/>
    </xf>
    <xf numFmtId="0" fontId="46" fillId="0" borderId="39" xfId="0" applyFont="1" applyBorder="1" applyAlignment="1">
      <alignment horizontal="center" vertical="center" shrinkToFit="1"/>
    </xf>
    <xf numFmtId="0" fontId="46" fillId="0" borderId="40" xfId="0" applyFont="1" applyBorder="1" applyAlignment="1">
      <alignment horizontal="center" vertical="center" shrinkToFit="1"/>
    </xf>
    <xf numFmtId="0" fontId="46" fillId="0" borderId="41" xfId="0" applyFont="1" applyBorder="1" applyAlignment="1">
      <alignment horizontal="center" vertical="center" shrinkToFit="1"/>
    </xf>
    <xf numFmtId="38" fontId="37" fillId="0" borderId="2" xfId="1" applyFont="1" applyFill="1" applyBorder="1" applyAlignment="1" applyProtection="1">
      <alignment horizontal="center" vertical="center" shrinkToFit="1"/>
    </xf>
    <xf numFmtId="38" fontId="37" fillId="0" borderId="3" xfId="1" applyFont="1" applyFill="1" applyBorder="1" applyAlignment="1" applyProtection="1">
      <alignment horizontal="center" vertical="center" shrinkToFit="1"/>
    </xf>
    <xf numFmtId="38" fontId="37" fillId="0" borderId="1" xfId="1" applyFont="1" applyFill="1" applyBorder="1" applyAlignment="1" applyProtection="1">
      <alignment horizontal="center" vertical="center" shrinkToFit="1"/>
    </xf>
    <xf numFmtId="0" fontId="38" fillId="0" borderId="0" xfId="0" applyFont="1" applyAlignment="1">
      <alignment horizontal="center" vertical="center"/>
    </xf>
    <xf numFmtId="0" fontId="38" fillId="0" borderId="16" xfId="0" applyFont="1" applyBorder="1" applyAlignment="1">
      <alignment horizontal="center" vertical="center"/>
    </xf>
    <xf numFmtId="0" fontId="37" fillId="8" borderId="2" xfId="0" applyFont="1" applyFill="1" applyBorder="1" applyAlignment="1">
      <alignment horizontal="center" vertical="center"/>
    </xf>
    <xf numFmtId="0" fontId="37" fillId="8" borderId="3" xfId="0" applyFont="1" applyFill="1" applyBorder="1" applyAlignment="1">
      <alignment horizontal="center" vertical="center"/>
    </xf>
    <xf numFmtId="0" fontId="37" fillId="8" borderId="1" xfId="0" applyFont="1" applyFill="1" applyBorder="1" applyAlignment="1">
      <alignment horizontal="center" vertical="center"/>
    </xf>
    <xf numFmtId="0" fontId="54" fillId="0" borderId="0" xfId="0" applyFont="1" applyAlignment="1">
      <alignment horizontal="center" vertical="top" wrapText="1"/>
    </xf>
    <xf numFmtId="0" fontId="13" fillId="0" borderId="0" xfId="0" applyFont="1" applyFill="1" applyBorder="1" applyAlignment="1">
      <alignment horizontal="center" vertical="center"/>
    </xf>
    <xf numFmtId="191" fontId="37" fillId="0" borderId="0" xfId="0" applyNumberFormat="1" applyFont="1" applyFill="1" applyBorder="1" applyAlignment="1">
      <alignment horizontal="center" vertical="center"/>
    </xf>
    <xf numFmtId="0" fontId="51" fillId="0" borderId="0" xfId="0" applyFont="1" applyBorder="1" applyAlignment="1">
      <alignment horizontal="left" vertical="top" wrapText="1"/>
    </xf>
    <xf numFmtId="0" fontId="13" fillId="0" borderId="52"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3" fillId="0" borderId="51" xfId="0" applyFont="1" applyFill="1" applyBorder="1" applyAlignment="1">
      <alignment horizontal="center" vertical="center" shrinkToFit="1"/>
    </xf>
    <xf numFmtId="187" fontId="13" fillId="0" borderId="52" xfId="0" applyNumberFormat="1" applyFont="1" applyFill="1" applyBorder="1" applyAlignment="1" applyProtection="1">
      <alignment horizontal="center" vertical="center"/>
      <protection locked="0"/>
    </xf>
    <xf numFmtId="187" fontId="13" fillId="0" borderId="51" xfId="0" applyNumberFormat="1" applyFont="1" applyFill="1" applyBorder="1" applyAlignment="1" applyProtection="1">
      <alignment horizontal="center" vertical="center"/>
      <protection locked="0"/>
    </xf>
    <xf numFmtId="0" fontId="44" fillId="0" borderId="0" xfId="0" applyFont="1" applyBorder="1" applyAlignment="1">
      <alignment horizontal="left" vertical="top" wrapText="1"/>
    </xf>
    <xf numFmtId="0" fontId="44" fillId="0" borderId="0" xfId="0" applyFont="1" applyAlignment="1">
      <alignment horizontal="left" vertical="top" wrapText="1"/>
    </xf>
    <xf numFmtId="0" fontId="36" fillId="0" borderId="21"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39" xfId="0" applyFont="1" applyFill="1" applyBorder="1" applyAlignment="1" applyProtection="1">
      <alignment horizontal="center" vertical="center"/>
      <protection locked="0"/>
    </xf>
    <xf numFmtId="0" fontId="36" fillId="0" borderId="41" xfId="0" applyFont="1" applyFill="1" applyBorder="1" applyAlignment="1" applyProtection="1">
      <alignment horizontal="center" vertical="center"/>
      <protection locked="0"/>
    </xf>
    <xf numFmtId="38" fontId="36" fillId="0" borderId="21" xfId="0" applyNumberFormat="1" applyFont="1" applyFill="1" applyBorder="1" applyAlignment="1" applyProtection="1">
      <alignment horizontal="center" vertical="center"/>
      <protection locked="0"/>
    </xf>
    <xf numFmtId="38" fontId="36" fillId="0" borderId="22" xfId="0" applyNumberFormat="1" applyFont="1" applyFill="1" applyBorder="1" applyAlignment="1" applyProtection="1">
      <alignment horizontal="center" vertical="center"/>
      <protection locked="0"/>
    </xf>
    <xf numFmtId="38" fontId="36" fillId="0" borderId="39" xfId="0" applyNumberFormat="1" applyFont="1" applyFill="1" applyBorder="1" applyAlignment="1" applyProtection="1">
      <alignment horizontal="center" vertical="center"/>
      <protection locked="0"/>
    </xf>
    <xf numFmtId="38" fontId="36" fillId="0" borderId="41" xfId="0" applyNumberFormat="1" applyFont="1" applyFill="1" applyBorder="1" applyAlignment="1" applyProtection="1">
      <alignment horizontal="center" vertical="center"/>
      <protection locked="0"/>
    </xf>
    <xf numFmtId="0" fontId="37" fillId="0" borderId="0" xfId="0" applyFont="1" applyFill="1" applyBorder="1" applyAlignment="1">
      <alignment horizontal="right" vertical="center"/>
    </xf>
    <xf numFmtId="0" fontId="37" fillId="0" borderId="4" xfId="0" applyFont="1" applyFill="1" applyBorder="1" applyAlignment="1">
      <alignment horizontal="right" vertical="center"/>
    </xf>
    <xf numFmtId="0" fontId="37" fillId="0" borderId="0" xfId="0" applyFont="1" applyAlignment="1">
      <alignment horizontal="right" vertical="center"/>
    </xf>
    <xf numFmtId="0" fontId="37" fillId="0" borderId="4" xfId="0" applyFont="1" applyBorder="1" applyAlignment="1">
      <alignment horizontal="right" vertical="center"/>
    </xf>
    <xf numFmtId="0" fontId="37" fillId="0" borderId="38" xfId="0" applyFont="1" applyBorder="1" applyAlignment="1">
      <alignment horizontal="center"/>
    </xf>
    <xf numFmtId="0" fontId="37" fillId="0" borderId="0" xfId="0" applyFont="1" applyAlignment="1">
      <alignment horizontal="center"/>
    </xf>
    <xf numFmtId="0" fontId="13" fillId="0" borderId="0" xfId="0" applyFont="1" applyFill="1" applyBorder="1" applyAlignment="1">
      <alignment horizontal="center" vertical="center" shrinkToFit="1"/>
    </xf>
    <xf numFmtId="184" fontId="13" fillId="0" borderId="0" xfId="1" applyNumberFormat="1" applyFont="1" applyFill="1" applyBorder="1" applyAlignment="1">
      <alignment horizontal="center" vertical="center" shrinkToFit="1"/>
    </xf>
    <xf numFmtId="0" fontId="11" fillId="0" borderId="78" xfId="0" applyFont="1" applyFill="1" applyBorder="1" applyAlignment="1">
      <alignment horizontal="center" vertical="center"/>
    </xf>
    <xf numFmtId="189" fontId="13" fillId="0" borderId="52" xfId="1" applyNumberFormat="1" applyFont="1" applyFill="1" applyBorder="1" applyAlignment="1">
      <alignment horizontal="right" vertical="center"/>
    </xf>
    <xf numFmtId="189" fontId="13" fillId="0" borderId="53" xfId="1" applyNumberFormat="1" applyFont="1" applyFill="1" applyBorder="1" applyAlignment="1">
      <alignment horizontal="right" vertical="center"/>
    </xf>
    <xf numFmtId="189" fontId="13" fillId="0" borderId="51" xfId="1" applyNumberFormat="1" applyFont="1" applyFill="1" applyBorder="1" applyAlignment="1">
      <alignment horizontal="right" vertical="center"/>
    </xf>
    <xf numFmtId="0" fontId="11" fillId="0" borderId="5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82" xfId="0" applyFont="1" applyFill="1" applyBorder="1" applyAlignment="1">
      <alignment horizontal="right" vertical="center" wrapText="1"/>
    </xf>
    <xf numFmtId="189" fontId="13" fillId="0" borderId="52" xfId="0" applyNumberFormat="1" applyFont="1" applyFill="1" applyBorder="1" applyAlignment="1">
      <alignment horizontal="right" vertical="center" shrinkToFit="1"/>
    </xf>
    <xf numFmtId="189" fontId="13" fillId="0" borderId="53" xfId="0" applyNumberFormat="1" applyFont="1" applyFill="1" applyBorder="1" applyAlignment="1">
      <alignment horizontal="right" vertical="center" shrinkToFit="1"/>
    </xf>
    <xf numFmtId="189" fontId="13" fillId="0" borderId="51" xfId="0" applyNumberFormat="1" applyFont="1" applyFill="1" applyBorder="1" applyAlignment="1">
      <alignment horizontal="right" vertical="center" shrinkToFit="1"/>
    </xf>
    <xf numFmtId="38" fontId="29" fillId="5" borderId="75" xfId="1" applyFont="1" applyFill="1" applyBorder="1" applyAlignment="1">
      <alignment horizontal="center" vertical="center"/>
    </xf>
    <xf numFmtId="38" fontId="29" fillId="5" borderId="58" xfId="1" applyFont="1" applyFill="1" applyBorder="1" applyAlignment="1">
      <alignment horizontal="center" vertical="center"/>
    </xf>
    <xf numFmtId="0" fontId="18" fillId="0" borderId="72" xfId="0" applyFont="1" applyFill="1" applyBorder="1" applyAlignment="1">
      <alignment horizontal="center" vertical="center"/>
    </xf>
    <xf numFmtId="38" fontId="37" fillId="0" borderId="38" xfId="0" applyNumberFormat="1" applyFont="1" applyFill="1" applyBorder="1" applyAlignment="1">
      <alignment horizontal="center"/>
    </xf>
    <xf numFmtId="38" fontId="37" fillId="0" borderId="0" xfId="0" applyNumberFormat="1" applyFont="1" applyFill="1" applyBorder="1" applyAlignment="1">
      <alignment horizontal="center"/>
    </xf>
    <xf numFmtId="0" fontId="19" fillId="0" borderId="72" xfId="0" applyFont="1" applyFill="1" applyBorder="1" applyAlignment="1">
      <alignment horizontal="center" vertical="center"/>
    </xf>
    <xf numFmtId="0" fontId="19" fillId="0" borderId="77" xfId="0" applyFont="1" applyFill="1" applyBorder="1" applyAlignment="1">
      <alignment horizontal="center" vertical="center"/>
    </xf>
    <xf numFmtId="0" fontId="18" fillId="0" borderId="71" xfId="0" applyFont="1" applyFill="1" applyBorder="1" applyAlignment="1">
      <alignment horizontal="center" vertical="center"/>
    </xf>
    <xf numFmtId="188" fontId="13" fillId="0" borderId="52" xfId="0" applyNumberFormat="1" applyFont="1" applyFill="1" applyBorder="1" applyAlignment="1" applyProtection="1">
      <alignment horizontal="center" vertical="center"/>
      <protection locked="0"/>
    </xf>
    <xf numFmtId="188" fontId="13" fillId="0" borderId="51" xfId="0" applyNumberFormat="1" applyFont="1" applyFill="1" applyBorder="1" applyAlignment="1" applyProtection="1">
      <alignment horizontal="center" vertical="center"/>
      <protection locked="0"/>
    </xf>
    <xf numFmtId="0" fontId="33" fillId="0" borderId="0" xfId="0" applyFont="1" applyFill="1" applyBorder="1" applyAlignment="1">
      <alignment horizontal="center" vertical="center" shrinkToFit="1"/>
    </xf>
    <xf numFmtId="180" fontId="13" fillId="13" borderId="2" xfId="1" applyNumberFormat="1" applyFont="1" applyFill="1" applyBorder="1" applyAlignment="1">
      <alignment vertical="center" shrinkToFit="1"/>
    </xf>
    <xf numFmtId="180" fontId="13" fillId="13" borderId="3" xfId="1" applyNumberFormat="1" applyFont="1" applyFill="1" applyBorder="1" applyAlignment="1">
      <alignment vertical="center" shrinkToFit="1"/>
    </xf>
    <xf numFmtId="180" fontId="13" fillId="13" borderId="1" xfId="1" applyNumberFormat="1" applyFont="1" applyFill="1" applyBorder="1" applyAlignment="1">
      <alignment vertical="center" shrinkToFit="1"/>
    </xf>
    <xf numFmtId="180" fontId="13" fillId="13" borderId="2" xfId="0" applyNumberFormat="1" applyFont="1" applyFill="1" applyBorder="1" applyAlignment="1">
      <alignment horizontal="right" vertical="center"/>
    </xf>
    <xf numFmtId="180" fontId="13" fillId="13" borderId="3" xfId="0" applyNumberFormat="1" applyFont="1" applyFill="1" applyBorder="1" applyAlignment="1">
      <alignment horizontal="right" vertical="center"/>
    </xf>
    <xf numFmtId="180" fontId="13" fillId="13" borderId="1" xfId="0" applyNumberFormat="1" applyFont="1" applyFill="1" applyBorder="1" applyAlignment="1">
      <alignment horizontal="right" vertical="center"/>
    </xf>
    <xf numFmtId="180" fontId="13" fillId="13" borderId="2" xfId="0" applyNumberFormat="1" applyFont="1" applyFill="1" applyBorder="1" applyAlignment="1">
      <alignment vertical="center"/>
    </xf>
    <xf numFmtId="180" fontId="13" fillId="13" borderId="3" xfId="0" applyNumberFormat="1" applyFont="1" applyFill="1" applyBorder="1" applyAlignment="1">
      <alignment vertical="center"/>
    </xf>
    <xf numFmtId="180" fontId="13" fillId="13" borderId="1" xfId="0" applyNumberFormat="1" applyFont="1" applyFill="1" applyBorder="1" applyAlignment="1">
      <alignment vertical="center"/>
    </xf>
    <xf numFmtId="0" fontId="7" fillId="0" borderId="0" xfId="0" applyFont="1" applyFill="1" applyBorder="1" applyAlignment="1">
      <alignment horizontal="left" vertical="top" wrapText="1" shrinkToFit="1"/>
    </xf>
    <xf numFmtId="38" fontId="11" fillId="13" borderId="6" xfId="0" applyNumberFormat="1" applyFont="1" applyFill="1" applyBorder="1" applyAlignment="1">
      <alignment vertical="center"/>
    </xf>
    <xf numFmtId="38" fontId="11" fillId="0" borderId="0" xfId="1" applyFont="1" applyFill="1" applyBorder="1" applyAlignment="1">
      <alignment horizontal="center" vertical="center"/>
    </xf>
    <xf numFmtId="3" fontId="11" fillId="0" borderId="0" xfId="0" applyNumberFormat="1" applyFont="1" applyFill="1" applyBorder="1" applyAlignment="1">
      <alignment horizontal="center" vertical="center"/>
    </xf>
    <xf numFmtId="18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38" fontId="11" fillId="0" borderId="0" xfId="1" applyNumberFormat="1" applyFont="1" applyFill="1" applyBorder="1" applyAlignment="1">
      <alignment horizontal="center" vertical="center"/>
    </xf>
    <xf numFmtId="0" fontId="11" fillId="13" borderId="0" xfId="0" applyFont="1" applyFill="1" applyBorder="1" applyAlignment="1">
      <alignment horizontal="center" vertical="center"/>
    </xf>
    <xf numFmtId="38" fontId="11" fillId="13" borderId="6" xfId="1" applyFont="1" applyFill="1" applyBorder="1" applyAlignment="1">
      <alignment horizontal="center" vertical="center"/>
    </xf>
    <xf numFmtId="38" fontId="11" fillId="13" borderId="0" xfId="1" applyFont="1" applyFill="1" applyBorder="1" applyAlignment="1">
      <alignment horizontal="center" vertical="center"/>
    </xf>
    <xf numFmtId="38" fontId="11" fillId="13" borderId="0" xfId="0" applyNumberFormat="1" applyFont="1" applyFill="1" applyBorder="1" applyAlignment="1">
      <alignment horizontal="center" vertical="center"/>
    </xf>
    <xf numFmtId="38" fontId="35" fillId="13" borderId="0" xfId="1" applyNumberFormat="1" applyFont="1" applyFill="1" applyBorder="1" applyAlignment="1">
      <alignment horizontal="center" vertical="center"/>
    </xf>
    <xf numFmtId="38" fontId="11" fillId="13" borderId="6" xfId="1" applyFont="1" applyFill="1" applyBorder="1" applyAlignment="1">
      <alignment vertical="center"/>
    </xf>
    <xf numFmtId="182" fontId="11" fillId="13" borderId="6" xfId="1" applyNumberFormat="1" applyFont="1" applyFill="1" applyBorder="1" applyAlignment="1">
      <alignment vertical="center"/>
    </xf>
    <xf numFmtId="182" fontId="11" fillId="13" borderId="3" xfId="1" applyNumberFormat="1" applyFont="1" applyFill="1" applyBorder="1" applyAlignment="1">
      <alignment vertical="center"/>
    </xf>
    <xf numFmtId="182" fontId="11" fillId="13" borderId="1" xfId="1" applyNumberFormat="1" applyFont="1" applyFill="1" applyBorder="1" applyAlignment="1">
      <alignment vertical="center"/>
    </xf>
    <xf numFmtId="0" fontId="11" fillId="13" borderId="0" xfId="0" applyFont="1" applyFill="1" applyBorder="1" applyAlignment="1">
      <alignment horizontal="center" vertical="center" shrinkToFit="1"/>
    </xf>
    <xf numFmtId="183" fontId="11" fillId="13" borderId="0" xfId="0" applyNumberFormat="1" applyFont="1" applyFill="1" applyBorder="1" applyAlignment="1">
      <alignment horizontal="center" vertical="center"/>
    </xf>
    <xf numFmtId="38" fontId="11" fillId="13" borderId="2" xfId="1" applyFont="1" applyFill="1" applyBorder="1" applyAlignment="1">
      <alignment horizontal="center" vertical="center"/>
    </xf>
    <xf numFmtId="38" fontId="11" fillId="13" borderId="3" xfId="1" applyFont="1" applyFill="1" applyBorder="1" applyAlignment="1">
      <alignment horizontal="center" vertical="center"/>
    </xf>
    <xf numFmtId="38" fontId="11" fillId="13" borderId="1" xfId="1" applyFont="1" applyFill="1" applyBorder="1" applyAlignment="1">
      <alignment horizontal="center" vertical="center"/>
    </xf>
    <xf numFmtId="38" fontId="35" fillId="13" borderId="0" xfId="1" applyFont="1" applyFill="1" applyBorder="1" applyAlignment="1">
      <alignment horizontal="center" vertical="center"/>
    </xf>
    <xf numFmtId="38" fontId="11" fillId="13" borderId="2" xfId="0" applyNumberFormat="1" applyFont="1" applyFill="1" applyBorder="1" applyAlignment="1">
      <alignment horizontal="center" vertical="center"/>
    </xf>
    <xf numFmtId="0" fontId="11" fillId="13" borderId="3" xfId="0" applyFont="1" applyFill="1" applyBorder="1" applyAlignment="1">
      <alignment horizontal="center" vertical="center"/>
    </xf>
    <xf numFmtId="0" fontId="11" fillId="13" borderId="1" xfId="0" applyFont="1" applyFill="1" applyBorder="1" applyAlignment="1">
      <alignment horizontal="center" vertical="center"/>
    </xf>
    <xf numFmtId="182" fontId="11" fillId="13" borderId="2" xfId="1" applyNumberFormat="1" applyFont="1" applyFill="1" applyBorder="1" applyAlignment="1">
      <alignment vertical="center"/>
    </xf>
    <xf numFmtId="38" fontId="11" fillId="0" borderId="12" xfId="0" applyNumberFormat="1" applyFont="1" applyFill="1" applyBorder="1" applyAlignment="1">
      <alignment horizontal="center" vertical="center"/>
    </xf>
    <xf numFmtId="38" fontId="11" fillId="0" borderId="12" xfId="1" applyFont="1" applyFill="1" applyBorder="1" applyAlignment="1">
      <alignment horizontal="center" vertical="center"/>
    </xf>
    <xf numFmtId="38" fontId="35" fillId="13" borderId="0" xfId="0" applyNumberFormat="1" applyFont="1" applyFill="1" applyBorder="1" applyAlignment="1">
      <alignment horizontal="center" vertical="center"/>
    </xf>
    <xf numFmtId="0" fontId="11" fillId="13" borderId="6" xfId="1" applyNumberFormat="1" applyFont="1" applyFill="1" applyBorder="1" applyAlignment="1">
      <alignment vertical="center"/>
    </xf>
    <xf numFmtId="38" fontId="11" fillId="13" borderId="6" xfId="0" applyNumberFormat="1" applyFont="1" applyFill="1" applyBorder="1" applyAlignment="1">
      <alignment horizontal="center" vertical="center"/>
    </xf>
    <xf numFmtId="0" fontId="11" fillId="13" borderId="6" xfId="0" applyFont="1" applyFill="1" applyBorder="1" applyAlignment="1">
      <alignment horizontal="center" vertical="center"/>
    </xf>
    <xf numFmtId="0" fontId="13" fillId="5" borderId="17" xfId="0" applyFont="1" applyFill="1" applyBorder="1" applyAlignment="1">
      <alignment horizontal="center" vertical="center" textRotation="255"/>
    </xf>
    <xf numFmtId="0" fontId="13" fillId="5" borderId="18" xfId="0" applyFont="1" applyFill="1" applyBorder="1" applyAlignment="1">
      <alignment horizontal="center" vertical="center" textRotation="255"/>
    </xf>
    <xf numFmtId="0" fontId="13" fillId="5" borderId="19" xfId="0" applyFont="1" applyFill="1" applyBorder="1" applyAlignment="1">
      <alignment horizontal="center" vertical="center" textRotation="255"/>
    </xf>
    <xf numFmtId="38" fontId="21" fillId="0" borderId="52" xfId="0" applyNumberFormat="1" applyFont="1" applyFill="1" applyBorder="1" applyAlignment="1">
      <alignment horizontal="center" vertical="center"/>
    </xf>
    <xf numFmtId="0" fontId="21" fillId="0" borderId="53" xfId="0" applyFont="1" applyFill="1" applyBorder="1" applyAlignment="1">
      <alignment horizontal="center" vertical="center"/>
    </xf>
    <xf numFmtId="0" fontId="21" fillId="0" borderId="51" xfId="0" applyFont="1" applyFill="1" applyBorder="1" applyAlignment="1">
      <alignment horizontal="center" vertical="center"/>
    </xf>
    <xf numFmtId="38" fontId="21" fillId="0" borderId="52" xfId="1" applyFont="1" applyFill="1" applyBorder="1" applyAlignment="1">
      <alignment horizontal="center" vertical="center"/>
    </xf>
    <xf numFmtId="38" fontId="21" fillId="0" borderId="53" xfId="1" applyFont="1" applyFill="1" applyBorder="1" applyAlignment="1">
      <alignment horizontal="center" vertical="center"/>
    </xf>
    <xf numFmtId="38" fontId="21" fillId="0" borderId="51" xfId="1" applyFont="1" applyFill="1" applyBorder="1" applyAlignment="1">
      <alignment horizontal="center" vertical="center"/>
    </xf>
    <xf numFmtId="38" fontId="11" fillId="0" borderId="56" xfId="0" applyNumberFormat="1" applyFont="1" applyFill="1" applyBorder="1" applyAlignment="1">
      <alignment horizontal="center" vertical="center"/>
    </xf>
    <xf numFmtId="38" fontId="11" fillId="0" borderId="56" xfId="1" applyFont="1" applyFill="1" applyBorder="1" applyAlignment="1">
      <alignment horizontal="center" vertical="center"/>
    </xf>
    <xf numFmtId="0" fontId="11" fillId="0" borderId="56" xfId="0" applyFont="1" applyFill="1" applyBorder="1" applyAlignment="1">
      <alignment horizontal="center" vertical="center"/>
    </xf>
    <xf numFmtId="0" fontId="11" fillId="13" borderId="2" xfId="0" applyFont="1" applyFill="1" applyBorder="1" applyAlignment="1">
      <alignment horizontal="center" vertical="center" shrinkToFit="1"/>
    </xf>
    <xf numFmtId="0" fontId="11" fillId="13" borderId="3" xfId="0" applyFont="1" applyFill="1" applyBorder="1" applyAlignment="1">
      <alignment horizontal="center" vertical="center" shrinkToFit="1"/>
    </xf>
    <xf numFmtId="0" fontId="11" fillId="13" borderId="1" xfId="0" applyFont="1" applyFill="1" applyBorder="1" applyAlignment="1">
      <alignment horizontal="center" vertical="center" shrinkToFit="1"/>
    </xf>
    <xf numFmtId="0" fontId="11" fillId="13" borderId="12" xfId="0" applyFont="1" applyFill="1" applyBorder="1" applyAlignment="1">
      <alignment horizontal="center" vertical="center"/>
    </xf>
    <xf numFmtId="3" fontId="11" fillId="13" borderId="0" xfId="0" applyNumberFormat="1" applyFont="1" applyFill="1" applyBorder="1" applyAlignment="1">
      <alignment horizontal="center" vertical="center"/>
    </xf>
    <xf numFmtId="0" fontId="13" fillId="5" borderId="64" xfId="0" applyFont="1" applyFill="1" applyBorder="1" applyAlignment="1">
      <alignment horizontal="center" vertical="center" textRotation="255" shrinkToFit="1"/>
    </xf>
    <xf numFmtId="0" fontId="13" fillId="5" borderId="65" xfId="0" applyFont="1" applyFill="1" applyBorder="1" applyAlignment="1">
      <alignment horizontal="center" vertical="center" textRotation="255" shrinkToFit="1"/>
    </xf>
    <xf numFmtId="0" fontId="13" fillId="5" borderId="66" xfId="0" applyFont="1" applyFill="1" applyBorder="1" applyAlignment="1">
      <alignment horizontal="center" vertical="center" textRotation="255" shrinkToFit="1"/>
    </xf>
    <xf numFmtId="38" fontId="21" fillId="0" borderId="53" xfId="0" applyNumberFormat="1" applyFont="1" applyFill="1" applyBorder="1" applyAlignment="1">
      <alignment horizontal="center" vertical="center"/>
    </xf>
    <xf numFmtId="38" fontId="21" fillId="0" borderId="51" xfId="0" applyNumberFormat="1" applyFont="1" applyFill="1" applyBorder="1" applyAlignment="1">
      <alignment horizontal="center" vertical="center"/>
    </xf>
    <xf numFmtId="0" fontId="11" fillId="13" borderId="6" xfId="0" applyFont="1" applyFill="1" applyBorder="1" applyAlignment="1">
      <alignment vertical="center"/>
    </xf>
    <xf numFmtId="38" fontId="11" fillId="13" borderId="2" xfId="1" applyFont="1" applyFill="1" applyBorder="1" applyAlignment="1">
      <alignment vertical="center"/>
    </xf>
    <xf numFmtId="38" fontId="11" fillId="13" borderId="3" xfId="1" applyFont="1" applyFill="1" applyBorder="1" applyAlignment="1">
      <alignment vertical="center"/>
    </xf>
    <xf numFmtId="38" fontId="11" fillId="13" borderId="1" xfId="1" applyFont="1" applyFill="1" applyBorder="1" applyAlignment="1">
      <alignment vertical="center"/>
    </xf>
    <xf numFmtId="38" fontId="11" fillId="13" borderId="2" xfId="0" applyNumberFormat="1" applyFont="1" applyFill="1" applyBorder="1" applyAlignment="1">
      <alignment vertical="center"/>
    </xf>
    <xf numFmtId="38" fontId="11" fillId="13" borderId="3" xfId="0" applyNumberFormat="1" applyFont="1" applyFill="1" applyBorder="1" applyAlignment="1">
      <alignment vertical="center"/>
    </xf>
    <xf numFmtId="38" fontId="11" fillId="13" borderId="1" xfId="0" applyNumberFormat="1" applyFont="1" applyFill="1" applyBorder="1" applyAlignment="1">
      <alignment vertical="center"/>
    </xf>
    <xf numFmtId="38" fontId="11" fillId="13" borderId="3" xfId="0" applyNumberFormat="1" applyFont="1" applyFill="1" applyBorder="1" applyAlignment="1">
      <alignment horizontal="center" vertical="center"/>
    </xf>
    <xf numFmtId="38" fontId="11" fillId="13" borderId="1" xfId="0" applyNumberFormat="1" applyFont="1" applyFill="1" applyBorder="1" applyAlignment="1">
      <alignment horizontal="center" vertical="center"/>
    </xf>
    <xf numFmtId="0" fontId="13" fillId="6" borderId="64" xfId="0" applyFont="1" applyFill="1" applyBorder="1" applyAlignment="1">
      <alignment horizontal="center" vertical="center" textRotation="255" shrinkToFit="1"/>
    </xf>
    <xf numFmtId="0" fontId="13" fillId="6" borderId="65" xfId="0" applyFont="1" applyFill="1" applyBorder="1" applyAlignment="1">
      <alignment horizontal="center" vertical="center" textRotation="255" shrinkToFit="1"/>
    </xf>
    <xf numFmtId="0" fontId="13" fillId="6" borderId="66" xfId="0" applyFont="1" applyFill="1" applyBorder="1" applyAlignment="1">
      <alignment horizontal="center" vertical="center" textRotation="255" shrinkToFit="1"/>
    </xf>
    <xf numFmtId="182" fontId="11" fillId="13" borderId="6" xfId="1" applyNumberFormat="1" applyFont="1" applyFill="1" applyBorder="1" applyAlignment="1">
      <alignment vertical="center" shrinkToFit="1"/>
    </xf>
    <xf numFmtId="185" fontId="9" fillId="0" borderId="0" xfId="0" applyNumberFormat="1" applyFont="1" applyFill="1" applyBorder="1" applyAlignment="1">
      <alignment horizontal="right" vertical="center" wrapText="1"/>
    </xf>
    <xf numFmtId="0" fontId="42" fillId="0" borderId="17"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42" fillId="0" borderId="9" xfId="0" applyFont="1" applyFill="1" applyBorder="1" applyAlignment="1">
      <alignment horizontal="left" vertical="center" wrapText="1"/>
    </xf>
    <xf numFmtId="0" fontId="42" fillId="0" borderId="19" xfId="0" applyFont="1" applyFill="1" applyBorder="1" applyAlignment="1">
      <alignment horizontal="left" vertical="center" wrapText="1"/>
    </xf>
    <xf numFmtId="0" fontId="42" fillId="0" borderId="12" xfId="0" applyFont="1" applyFill="1" applyBorder="1" applyAlignment="1">
      <alignment horizontal="left" vertical="center" wrapText="1"/>
    </xf>
    <xf numFmtId="0" fontId="42" fillId="0" borderId="13" xfId="0" applyFont="1" applyFill="1" applyBorder="1" applyAlignment="1">
      <alignment horizontal="left" vertical="center" wrapText="1"/>
    </xf>
    <xf numFmtId="0" fontId="28" fillId="0" borderId="0" xfId="0" applyNumberFormat="1" applyFont="1" applyFill="1" applyBorder="1" applyAlignment="1">
      <alignment horizontal="left" vertical="center" shrinkToFit="1"/>
    </xf>
    <xf numFmtId="193" fontId="37" fillId="0" borderId="3" xfId="0" applyNumberFormat="1" applyFont="1" applyFill="1" applyBorder="1" applyAlignment="1">
      <alignment horizontal="center" vertical="center" shrinkToFit="1"/>
    </xf>
    <xf numFmtId="193" fontId="37" fillId="0" borderId="1" xfId="0" applyNumberFormat="1" applyFont="1" applyFill="1" applyBorder="1" applyAlignment="1">
      <alignment horizontal="center" vertical="center" shrinkToFit="1"/>
    </xf>
    <xf numFmtId="0" fontId="52" fillId="0" borderId="0" xfId="0" applyFont="1" applyAlignment="1">
      <alignment horizontal="left" vertical="top" wrapText="1"/>
    </xf>
    <xf numFmtId="57" fontId="29" fillId="0" borderId="54" xfId="0" applyNumberFormat="1" applyFont="1" applyFill="1" applyBorder="1" applyAlignment="1">
      <alignment horizontal="center" shrinkToFit="1"/>
    </xf>
    <xf numFmtId="185" fontId="29" fillId="0" borderId="54" xfId="0" applyNumberFormat="1" applyFont="1" applyBorder="1" applyAlignment="1">
      <alignment horizontal="center" vertical="center" shrinkToFit="1"/>
    </xf>
    <xf numFmtId="0" fontId="38" fillId="0" borderId="54" xfId="0" applyFont="1" applyFill="1" applyBorder="1" applyAlignment="1">
      <alignment horizontal="left" shrinkToFit="1"/>
    </xf>
    <xf numFmtId="195" fontId="23" fillId="0" borderId="0" xfId="0" applyNumberFormat="1" applyFont="1" applyFill="1" applyBorder="1" applyAlignment="1">
      <alignment horizontal="left" vertical="center"/>
    </xf>
    <xf numFmtId="0" fontId="13" fillId="11" borderId="64" xfId="0" applyFont="1" applyFill="1" applyBorder="1" applyAlignment="1">
      <alignment horizontal="center" vertical="center" textRotation="255"/>
    </xf>
    <xf numFmtId="0" fontId="13" fillId="11" borderId="65" xfId="0" applyFont="1" applyFill="1" applyBorder="1" applyAlignment="1">
      <alignment horizontal="center" vertical="center" textRotation="255"/>
    </xf>
    <xf numFmtId="0" fontId="13" fillId="11" borderId="66" xfId="0" applyFont="1" applyFill="1" applyBorder="1" applyAlignment="1">
      <alignment horizontal="center" vertical="center" textRotation="255"/>
    </xf>
    <xf numFmtId="0" fontId="36" fillId="0" borderId="30" xfId="0" applyFont="1" applyBorder="1" applyAlignment="1">
      <alignment horizontal="center"/>
    </xf>
    <xf numFmtId="0" fontId="36" fillId="0" borderId="31" xfId="0" applyFont="1" applyBorder="1" applyAlignment="1">
      <alignment horizontal="center"/>
    </xf>
    <xf numFmtId="0" fontId="36" fillId="0" borderId="32" xfId="0" applyFont="1" applyBorder="1" applyAlignment="1">
      <alignment horizontal="center"/>
    </xf>
    <xf numFmtId="38" fontId="37" fillId="0" borderId="34" xfId="1" applyFont="1" applyBorder="1" applyAlignment="1">
      <alignment horizontal="center" vertical="center" shrinkToFit="1"/>
    </xf>
    <xf numFmtId="38" fontId="37" fillId="0" borderId="6" xfId="1" applyFont="1" applyBorder="1" applyAlignment="1">
      <alignment horizontal="center" vertical="center" shrinkToFit="1"/>
    </xf>
    <xf numFmtId="14" fontId="49" fillId="0" borderId="0" xfId="0" applyNumberFormat="1" applyFont="1" applyAlignment="1">
      <alignment horizontal="center" vertical="center"/>
    </xf>
    <xf numFmtId="57" fontId="28" fillId="4" borderId="2" xfId="0" applyNumberFormat="1" applyFont="1" applyFill="1" applyBorder="1" applyAlignment="1">
      <alignment horizontal="center" vertical="center" wrapText="1"/>
    </xf>
    <xf numFmtId="57" fontId="28" fillId="4" borderId="3" xfId="0" applyNumberFormat="1" applyFont="1" applyFill="1" applyBorder="1" applyAlignment="1">
      <alignment horizontal="center" vertical="center" wrapText="1"/>
    </xf>
    <xf numFmtId="57" fontId="28" fillId="4" borderId="1" xfId="0" applyNumberFormat="1" applyFont="1" applyFill="1" applyBorder="1" applyAlignment="1">
      <alignment horizontal="center" vertical="center" wrapText="1"/>
    </xf>
    <xf numFmtId="192" fontId="28" fillId="0" borderId="0" xfId="0" applyNumberFormat="1" applyFont="1" applyAlignment="1">
      <alignment horizontal="left" vertical="center"/>
    </xf>
    <xf numFmtId="0" fontId="36" fillId="0" borderId="2" xfId="0" applyFont="1" applyBorder="1" applyAlignment="1">
      <alignment horizontal="center" vertical="center" shrinkToFit="1"/>
    </xf>
    <xf numFmtId="0" fontId="36" fillId="0" borderId="1" xfId="0" applyFont="1" applyBorder="1" applyAlignment="1">
      <alignment horizontal="center" vertical="center" shrinkToFit="1"/>
    </xf>
    <xf numFmtId="179" fontId="36" fillId="0" borderId="25" xfId="1" applyNumberFormat="1" applyFont="1" applyFill="1" applyBorder="1" applyAlignment="1" applyProtection="1">
      <alignment vertical="center" shrinkToFit="1"/>
      <protection locked="0"/>
    </xf>
    <xf numFmtId="179" fontId="36" fillId="0" borderId="26" xfId="1" applyNumberFormat="1" applyFont="1" applyFill="1" applyBorder="1" applyAlignment="1" applyProtection="1">
      <alignment vertical="center" shrinkToFit="1"/>
      <protection locked="0"/>
    </xf>
    <xf numFmtId="49" fontId="36" fillId="0" borderId="27" xfId="1" applyNumberFormat="1" applyFont="1" applyBorder="1" applyAlignment="1">
      <alignment vertical="center" shrinkToFit="1"/>
    </xf>
    <xf numFmtId="49" fontId="36" fillId="0" borderId="28" xfId="1" applyNumberFormat="1" applyFont="1" applyBorder="1" applyAlignment="1">
      <alignment vertical="center" shrinkToFit="1"/>
    </xf>
    <xf numFmtId="38" fontId="36" fillId="0" borderId="24" xfId="1" applyFont="1" applyFill="1" applyBorder="1" applyAlignment="1" applyProtection="1">
      <alignment vertical="center" shrinkToFit="1"/>
      <protection locked="0"/>
    </xf>
    <xf numFmtId="178" fontId="36" fillId="0" borderId="30" xfId="0" applyNumberFormat="1" applyFont="1" applyBorder="1" applyAlignment="1">
      <alignment horizontal="center" vertical="center"/>
    </xf>
    <xf numFmtId="178" fontId="36" fillId="0" borderId="31" xfId="0" applyNumberFormat="1" applyFont="1" applyBorder="1" applyAlignment="1">
      <alignment horizontal="center" vertical="center"/>
    </xf>
    <xf numFmtId="178" fontId="36" fillId="0" borderId="32" xfId="0" applyNumberFormat="1" applyFont="1" applyBorder="1" applyAlignment="1">
      <alignment horizontal="center" vertical="center"/>
    </xf>
    <xf numFmtId="38" fontId="37" fillId="0" borderId="33" xfId="1" applyFont="1" applyBorder="1" applyAlignment="1">
      <alignment horizontal="center" vertical="center" shrinkToFit="1"/>
    </xf>
    <xf numFmtId="49" fontId="36" fillId="0" borderId="27" xfId="1" applyNumberFormat="1" applyFont="1" applyBorder="1" applyAlignment="1">
      <alignment vertical="center"/>
    </xf>
    <xf numFmtId="49" fontId="36" fillId="0" borderId="28" xfId="1" applyNumberFormat="1" applyFont="1" applyBorder="1" applyAlignment="1">
      <alignment vertical="center"/>
    </xf>
    <xf numFmtId="38" fontId="36" fillId="2" borderId="24" xfId="1" applyFont="1" applyFill="1" applyBorder="1" applyAlignment="1" applyProtection="1">
      <alignment vertical="center"/>
      <protection locked="0"/>
    </xf>
    <xf numFmtId="38" fontId="36" fillId="2" borderId="29" xfId="1" applyFont="1" applyFill="1" applyBorder="1" applyAlignment="1" applyProtection="1">
      <alignment vertical="center"/>
      <protection locked="0"/>
    </xf>
    <xf numFmtId="179" fontId="36" fillId="2" borderId="25" xfId="1" applyNumberFormat="1" applyFont="1" applyFill="1" applyBorder="1" applyAlignment="1" applyProtection="1">
      <alignment vertical="center"/>
      <protection locked="0"/>
    </xf>
    <xf numFmtId="179" fontId="36" fillId="2" borderId="26" xfId="1" applyNumberFormat="1" applyFont="1" applyFill="1" applyBorder="1" applyAlignment="1" applyProtection="1">
      <alignment vertical="center"/>
      <protection locked="0"/>
    </xf>
    <xf numFmtId="38" fontId="36" fillId="0" borderId="29" xfId="1" applyFont="1" applyFill="1" applyBorder="1" applyAlignment="1" applyProtection="1">
      <alignment vertical="center" shrinkToFit="1"/>
      <protection locked="0"/>
    </xf>
    <xf numFmtId="182" fontId="36" fillId="2" borderId="2" xfId="0" applyNumberFormat="1" applyFont="1" applyFill="1" applyBorder="1" applyAlignment="1" applyProtection="1">
      <alignment vertical="center" shrinkToFit="1"/>
      <protection locked="0"/>
    </xf>
    <xf numFmtId="182" fontId="36" fillId="2" borderId="1" xfId="0" applyNumberFormat="1" applyFont="1" applyFill="1" applyBorder="1" applyAlignment="1" applyProtection="1">
      <alignment vertical="center" shrinkToFit="1"/>
      <protection locked="0"/>
    </xf>
    <xf numFmtId="179" fontId="36" fillId="2" borderId="25" xfId="1" applyNumberFormat="1" applyFont="1" applyFill="1" applyBorder="1" applyAlignment="1" applyProtection="1">
      <alignment vertical="center" shrinkToFit="1"/>
      <protection locked="0"/>
    </xf>
    <xf numFmtId="179" fontId="36" fillId="2" borderId="26" xfId="1" applyNumberFormat="1" applyFont="1" applyFill="1" applyBorder="1" applyAlignment="1" applyProtection="1">
      <alignment vertical="center" shrinkToFit="1"/>
      <protection locked="0"/>
    </xf>
    <xf numFmtId="38" fontId="36" fillId="2" borderId="24" xfId="1" applyFont="1" applyFill="1" applyBorder="1" applyAlignment="1" applyProtection="1">
      <alignment vertical="center" shrinkToFit="1"/>
      <protection locked="0"/>
    </xf>
    <xf numFmtId="38" fontId="36" fillId="2" borderId="29" xfId="1" applyFont="1" applyFill="1" applyBorder="1" applyAlignment="1" applyProtection="1">
      <alignment vertical="center" shrinkToFit="1"/>
      <protection locked="0"/>
    </xf>
    <xf numFmtId="38" fontId="36" fillId="10" borderId="17" xfId="1" applyFont="1" applyFill="1" applyBorder="1" applyAlignment="1" applyProtection="1">
      <alignment vertical="center" wrapText="1" shrinkToFit="1"/>
      <protection locked="0"/>
    </xf>
    <xf numFmtId="38" fontId="36" fillId="10" borderId="8" xfId="1" applyFont="1" applyFill="1" applyBorder="1" applyAlignment="1" applyProtection="1">
      <alignment vertical="center" wrapText="1" shrinkToFit="1"/>
      <protection locked="0"/>
    </xf>
    <xf numFmtId="38" fontId="36" fillId="10" borderId="9" xfId="1" applyFont="1" applyFill="1" applyBorder="1" applyAlignment="1" applyProtection="1">
      <alignment vertical="center" wrapText="1" shrinkToFit="1"/>
      <protection locked="0"/>
    </xf>
    <xf numFmtId="38" fontId="36" fillId="10" borderId="19" xfId="1" applyFont="1" applyFill="1" applyBorder="1" applyAlignment="1" applyProtection="1">
      <alignment vertical="center" wrapText="1" shrinkToFit="1"/>
      <protection locked="0"/>
    </xf>
    <xf numFmtId="38" fontId="36" fillId="10" borderId="12" xfId="1" applyFont="1" applyFill="1" applyBorder="1" applyAlignment="1" applyProtection="1">
      <alignment vertical="center" wrapText="1" shrinkToFit="1"/>
      <protection locked="0"/>
    </xf>
    <xf numFmtId="38" fontId="36" fillId="10" borderId="13" xfId="1" applyFont="1" applyFill="1" applyBorder="1" applyAlignment="1" applyProtection="1">
      <alignment vertical="center" wrapText="1" shrinkToFit="1"/>
      <protection locked="0"/>
    </xf>
    <xf numFmtId="176" fontId="36" fillId="2" borderId="6" xfId="0" applyNumberFormat="1" applyFont="1" applyFill="1" applyBorder="1" applyAlignment="1" applyProtection="1">
      <alignment vertical="center"/>
      <protection locked="0"/>
    </xf>
    <xf numFmtId="38" fontId="36" fillId="0" borderId="2" xfId="1" applyFont="1" applyBorder="1" applyAlignment="1">
      <alignment horizontal="center" vertical="center" shrinkToFit="1"/>
    </xf>
    <xf numFmtId="38" fontId="36" fillId="0" borderId="1" xfId="1" applyFont="1" applyBorder="1" applyAlignment="1">
      <alignment horizontal="center" vertical="center" shrinkToFit="1"/>
    </xf>
    <xf numFmtId="182" fontId="36" fillId="2" borderId="2" xfId="1" applyNumberFormat="1" applyFont="1" applyFill="1" applyBorder="1" applyAlignment="1" applyProtection="1">
      <alignment vertical="center" shrinkToFit="1"/>
      <protection locked="0"/>
    </xf>
    <xf numFmtId="182" fontId="36" fillId="2" borderId="1" xfId="1" applyNumberFormat="1" applyFont="1" applyFill="1" applyBorder="1" applyAlignment="1" applyProtection="1">
      <alignment vertical="center" shrinkToFit="1"/>
      <protection locked="0"/>
    </xf>
    <xf numFmtId="176" fontId="38" fillId="0" borderId="6" xfId="0" applyNumberFormat="1" applyFont="1" applyBorder="1" applyAlignment="1">
      <alignment vertical="center" wrapText="1"/>
    </xf>
    <xf numFmtId="0" fontId="36" fillId="0" borderId="6" xfId="0" applyFont="1" applyBorder="1" applyAlignment="1">
      <alignment horizontal="center" vertical="center" shrinkToFit="1"/>
    </xf>
    <xf numFmtId="0" fontId="36" fillId="0" borderId="3" xfId="0" applyFont="1" applyBorder="1" applyAlignment="1">
      <alignment horizontal="center" vertical="center" shrinkToFit="1"/>
    </xf>
    <xf numFmtId="38" fontId="36" fillId="0" borderId="19" xfId="1" applyFont="1" applyBorder="1" applyAlignment="1">
      <alignment horizontal="center" vertical="center" shrinkToFit="1"/>
    </xf>
    <xf numFmtId="38" fontId="36" fillId="0" borderId="13" xfId="1" applyFont="1" applyBorder="1" applyAlignment="1">
      <alignment horizontal="center" vertical="center" shrinkToFit="1"/>
    </xf>
    <xf numFmtId="38" fontId="36" fillId="0" borderId="3" xfId="1" applyFont="1" applyBorder="1" applyAlignment="1">
      <alignment horizontal="center" vertical="center" shrinkToFit="1"/>
    </xf>
    <xf numFmtId="179" fontId="36" fillId="0" borderId="35" xfId="1" applyNumberFormat="1" applyFont="1" applyFill="1" applyBorder="1" applyAlignment="1" applyProtection="1">
      <alignment vertical="center" shrinkToFit="1"/>
      <protection locked="0"/>
    </xf>
    <xf numFmtId="179" fontId="36" fillId="0" borderId="36" xfId="1" applyNumberFormat="1" applyFont="1" applyFill="1" applyBorder="1" applyAlignment="1" applyProtection="1">
      <alignment vertical="center" shrinkToFit="1"/>
      <protection locked="0"/>
    </xf>
    <xf numFmtId="179" fontId="36" fillId="0" borderId="37" xfId="1" applyNumberFormat="1" applyFont="1" applyFill="1" applyBorder="1" applyAlignment="1" applyProtection="1">
      <alignment vertical="center" shrinkToFit="1"/>
      <protection locked="0"/>
    </xf>
    <xf numFmtId="6" fontId="36" fillId="0" borderId="6" xfId="2" applyFont="1" applyBorder="1" applyAlignment="1">
      <alignment horizontal="center" vertical="center" shrinkToFit="1"/>
    </xf>
    <xf numFmtId="6" fontId="36" fillId="0" borderId="2" xfId="2" applyFont="1" applyBorder="1" applyAlignment="1">
      <alignment horizontal="center" vertical="center" shrinkToFit="1"/>
    </xf>
    <xf numFmtId="6" fontId="36" fillId="0" borderId="3" xfId="2" applyFont="1" applyBorder="1" applyAlignment="1">
      <alignment horizontal="center" vertical="center" shrinkToFit="1"/>
    </xf>
    <xf numFmtId="6" fontId="36" fillId="0" borderId="1" xfId="2" applyFont="1" applyBorder="1" applyAlignment="1">
      <alignment horizontal="center" vertical="center" shrinkToFit="1"/>
    </xf>
    <xf numFmtId="0" fontId="36" fillId="0" borderId="2" xfId="0" applyFont="1" applyBorder="1" applyAlignment="1">
      <alignment horizontal="center" shrinkToFit="1"/>
    </xf>
    <xf numFmtId="0" fontId="36" fillId="0" borderId="3" xfId="0" applyFont="1" applyBorder="1" applyAlignment="1">
      <alignment horizontal="center" shrinkToFit="1"/>
    </xf>
    <xf numFmtId="0" fontId="36" fillId="0" borderId="1" xfId="0" applyFont="1" applyBorder="1" applyAlignment="1">
      <alignment horizontal="center" shrinkToFit="1"/>
    </xf>
    <xf numFmtId="38" fontId="36" fillId="2" borderId="6" xfId="1" applyFont="1" applyFill="1" applyBorder="1" applyAlignment="1" applyProtection="1">
      <protection locked="0"/>
    </xf>
    <xf numFmtId="0" fontId="36" fillId="0" borderId="6" xfId="0" applyFont="1" applyBorder="1" applyAlignment="1">
      <alignment horizontal="center"/>
    </xf>
    <xf numFmtId="176" fontId="37" fillId="0" borderId="6" xfId="0" applyNumberFormat="1" applyFont="1" applyFill="1" applyBorder="1" applyAlignment="1">
      <alignment horizontal="center" vertical="center"/>
    </xf>
    <xf numFmtId="176" fontId="36" fillId="2" borderId="6" xfId="1" applyNumberFormat="1" applyFont="1" applyFill="1" applyBorder="1" applyAlignment="1" applyProtection="1">
      <protection locked="0"/>
    </xf>
    <xf numFmtId="176" fontId="36" fillId="0" borderId="6" xfId="1" applyNumberFormat="1" applyFont="1" applyFill="1" applyBorder="1" applyAlignment="1">
      <alignment horizontal="center" vertical="center"/>
    </xf>
    <xf numFmtId="180" fontId="36" fillId="4" borderId="6" xfId="1" applyNumberFormat="1" applyFont="1" applyFill="1" applyBorder="1" applyAlignment="1" applyProtection="1">
      <alignment vertical="center"/>
      <protection locked="0"/>
    </xf>
    <xf numFmtId="176" fontId="36" fillId="0" borderId="6" xfId="0" applyNumberFormat="1" applyFont="1" applyFill="1" applyBorder="1" applyAlignment="1">
      <alignment horizontal="center" vertical="center"/>
    </xf>
    <xf numFmtId="180" fontId="36" fillId="4" borderId="6" xfId="0" applyNumberFormat="1" applyFont="1" applyFill="1" applyBorder="1" applyAlignment="1" applyProtection="1">
      <alignment vertical="center"/>
      <protection locked="0"/>
    </xf>
    <xf numFmtId="0" fontId="36" fillId="0" borderId="6" xfId="0" applyFont="1" applyFill="1" applyBorder="1" applyAlignment="1">
      <alignment horizontal="center" vertical="center"/>
    </xf>
    <xf numFmtId="0" fontId="37" fillId="0" borderId="17" xfId="0" applyFont="1" applyBorder="1" applyAlignment="1">
      <alignment vertical="center" wrapText="1" shrinkToFit="1"/>
    </xf>
    <xf numFmtId="0" fontId="37" fillId="0" borderId="8" xfId="0" applyFont="1" applyBorder="1" applyAlignment="1">
      <alignment vertical="center" wrapText="1" shrinkToFit="1"/>
    </xf>
    <xf numFmtId="0" fontId="37" fillId="0" borderId="9" xfId="0" applyFont="1" applyBorder="1" applyAlignment="1">
      <alignment vertical="center" wrapText="1" shrinkToFit="1"/>
    </xf>
    <xf numFmtId="0" fontId="37" fillId="0" borderId="19" xfId="0" applyFont="1" applyBorder="1" applyAlignment="1">
      <alignment vertical="center" wrapText="1" shrinkToFit="1"/>
    </xf>
    <xf numFmtId="0" fontId="37" fillId="0" borderId="12" xfId="0" applyFont="1" applyBorder="1" applyAlignment="1">
      <alignment vertical="center" wrapText="1" shrinkToFit="1"/>
    </xf>
    <xf numFmtId="0" fontId="37" fillId="0" borderId="13" xfId="0" applyFont="1" applyBorder="1" applyAlignment="1">
      <alignment vertical="center" wrapText="1" shrinkToFit="1"/>
    </xf>
    <xf numFmtId="0" fontId="35" fillId="13" borderId="0" xfId="0" applyFont="1" applyFill="1" applyBorder="1" applyAlignment="1">
      <alignment vertical="center"/>
    </xf>
  </cellXfs>
  <cellStyles count="4">
    <cellStyle name="桁区切り" xfId="1" builtinId="6"/>
    <cellStyle name="通貨" xfId="2" builtinId="7"/>
    <cellStyle name="標準" xfId="0" builtinId="0"/>
    <cellStyle name="標準 2" xfId="3" xr:uid="{F6673CF3-E0D1-4E35-8AB7-D3915287BEA3}"/>
  </cellStyles>
  <dxfs count="9">
    <dxf>
      <fill>
        <patternFill>
          <bgColor theme="9" tint="0.59996337778862885"/>
        </patternFill>
      </fill>
    </dxf>
    <dxf>
      <fill>
        <patternFill>
          <bgColor rgb="FFFFFF99"/>
        </patternFill>
      </fill>
    </dxf>
    <dxf>
      <fill>
        <patternFill>
          <bgColor rgb="FFFFFF99"/>
        </patternFill>
      </fill>
    </dxf>
    <dxf>
      <fill>
        <patternFill>
          <bgColor theme="9" tint="0.59996337778862885"/>
        </patternFill>
      </fill>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numFmt numFmtId="196" formatCode="&quot;&quot;"/>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CCFFCC"/>
      <color rgb="FFCCFF99"/>
      <color rgb="FF3333FF"/>
      <color rgb="FFFFFF99"/>
      <color rgb="FF3366FF"/>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202659</xdr:colOff>
      <xdr:row>2</xdr:row>
      <xdr:rowOff>8105</xdr:rowOff>
    </xdr:from>
    <xdr:to>
      <xdr:col>52</xdr:col>
      <xdr:colOff>217349</xdr:colOff>
      <xdr:row>44</xdr:row>
      <xdr:rowOff>113858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946484" y="274805"/>
          <a:ext cx="5043890" cy="7316178"/>
          <a:chOff x="7895616" y="429638"/>
          <a:chExt cx="5008222" cy="7596051"/>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919937" y="2788596"/>
            <a:ext cx="4823298" cy="5237093"/>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895616" y="429638"/>
            <a:ext cx="5008222" cy="1515894"/>
          </a:xfrm>
          <a:prstGeom prst="rect">
            <a:avLst/>
          </a:prstGeom>
        </xdr:spPr>
      </xdr:pic>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10003277" y="1499681"/>
            <a:ext cx="980872" cy="43774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001000" y="5828489"/>
            <a:ext cx="2269786" cy="18077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114300</xdr:colOff>
      <xdr:row>1</xdr:row>
      <xdr:rowOff>0</xdr:rowOff>
    </xdr:from>
    <xdr:to>
      <xdr:col>161</xdr:col>
      <xdr:colOff>114300</xdr:colOff>
      <xdr:row>1</xdr:row>
      <xdr:rowOff>0</xdr:rowOff>
    </xdr:to>
    <xdr:sp macro="" textlink="">
      <xdr:nvSpPr>
        <xdr:cNvPr id="2" name="Line 68">
          <a:extLst>
            <a:ext uri="{FF2B5EF4-FFF2-40B4-BE49-F238E27FC236}">
              <a16:creationId xmlns:a16="http://schemas.microsoft.com/office/drawing/2014/main" id="{00000000-0008-0000-0100-000002000000}"/>
            </a:ext>
          </a:extLst>
        </xdr:cNvPr>
        <xdr:cNvSpPr>
          <a:spLocks noChangeShapeType="1"/>
        </xdr:cNvSpPr>
      </xdr:nvSpPr>
      <xdr:spPr bwMode="auto">
        <a:xfrm flipH="1">
          <a:off x="178117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161</xdr:col>
      <xdr:colOff>114300</xdr:colOff>
      <xdr:row>1</xdr:row>
      <xdr:rowOff>0</xdr:rowOff>
    </xdr:from>
    <xdr:to>
      <xdr:col>161</xdr:col>
      <xdr:colOff>114300</xdr:colOff>
      <xdr:row>1</xdr:row>
      <xdr:rowOff>0</xdr:rowOff>
    </xdr:to>
    <xdr:sp macro="" textlink="">
      <xdr:nvSpPr>
        <xdr:cNvPr id="3" name="Line 75">
          <a:extLst>
            <a:ext uri="{FF2B5EF4-FFF2-40B4-BE49-F238E27FC236}">
              <a16:creationId xmlns:a16="http://schemas.microsoft.com/office/drawing/2014/main" id="{00000000-0008-0000-0100-000003000000}"/>
            </a:ext>
          </a:extLst>
        </xdr:cNvPr>
        <xdr:cNvSpPr>
          <a:spLocks noChangeShapeType="1"/>
        </xdr:cNvSpPr>
      </xdr:nvSpPr>
      <xdr:spPr bwMode="auto">
        <a:xfrm flipH="1">
          <a:off x="17811750" y="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82</xdr:col>
          <xdr:colOff>60960</xdr:colOff>
          <xdr:row>72</xdr:row>
          <xdr:rowOff>190500</xdr:rowOff>
        </xdr:from>
        <xdr:to>
          <xdr:col>196</xdr:col>
          <xdr:colOff>106680</xdr:colOff>
          <xdr:row>74</xdr:row>
          <xdr:rowOff>76200</xdr:rowOff>
        </xdr:to>
        <xdr:sp macro="" textlink="">
          <xdr:nvSpPr>
            <xdr:cNvPr id="33933" name="Check Box 141" hidden="1">
              <a:extLst>
                <a:ext uri="{63B3BB69-23CF-44E3-9099-C40C66FF867C}">
                  <a14:compatExt spid="_x0000_s33933"/>
                </a:ext>
                <a:ext uri="{FF2B5EF4-FFF2-40B4-BE49-F238E27FC236}">
                  <a16:creationId xmlns:a16="http://schemas.microsoft.com/office/drawing/2014/main" id="{00000000-0008-0000-0100-00008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60960</xdr:colOff>
          <xdr:row>72</xdr:row>
          <xdr:rowOff>190500</xdr:rowOff>
        </xdr:from>
        <xdr:to>
          <xdr:col>196</xdr:col>
          <xdr:colOff>106680</xdr:colOff>
          <xdr:row>74</xdr:row>
          <xdr:rowOff>76200</xdr:rowOff>
        </xdr:to>
        <xdr:sp macro="" textlink="">
          <xdr:nvSpPr>
            <xdr:cNvPr id="33934" name="Check Box 142" hidden="1">
              <a:extLst>
                <a:ext uri="{63B3BB69-23CF-44E3-9099-C40C66FF867C}">
                  <a14:compatExt spid="_x0000_s33934"/>
                </a:ext>
                <a:ext uri="{FF2B5EF4-FFF2-40B4-BE49-F238E27FC236}">
                  <a16:creationId xmlns:a16="http://schemas.microsoft.com/office/drawing/2014/main" id="{00000000-0008-0000-0100-00008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45720</xdr:colOff>
          <xdr:row>72</xdr:row>
          <xdr:rowOff>190500</xdr:rowOff>
        </xdr:from>
        <xdr:to>
          <xdr:col>196</xdr:col>
          <xdr:colOff>114300</xdr:colOff>
          <xdr:row>74</xdr:row>
          <xdr:rowOff>76200</xdr:rowOff>
        </xdr:to>
        <xdr:sp macro="" textlink="">
          <xdr:nvSpPr>
            <xdr:cNvPr id="33935" name="Check Box 143" hidden="1">
              <a:extLst>
                <a:ext uri="{63B3BB69-23CF-44E3-9099-C40C66FF867C}">
                  <a14:compatExt spid="_x0000_s33935"/>
                </a:ext>
                <a:ext uri="{FF2B5EF4-FFF2-40B4-BE49-F238E27FC236}">
                  <a16:creationId xmlns:a16="http://schemas.microsoft.com/office/drawing/2014/main" id="{00000000-0008-0000-0100-00008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38100</xdr:colOff>
          <xdr:row>72</xdr:row>
          <xdr:rowOff>190500</xdr:rowOff>
        </xdr:from>
        <xdr:to>
          <xdr:col>196</xdr:col>
          <xdr:colOff>114300</xdr:colOff>
          <xdr:row>74</xdr:row>
          <xdr:rowOff>76200</xdr:rowOff>
        </xdr:to>
        <xdr:sp macro="" textlink="">
          <xdr:nvSpPr>
            <xdr:cNvPr id="33936" name="Check Box 144" hidden="1">
              <a:extLst>
                <a:ext uri="{63B3BB69-23CF-44E3-9099-C40C66FF867C}">
                  <a14:compatExt spid="_x0000_s33936"/>
                </a:ext>
                <a:ext uri="{FF2B5EF4-FFF2-40B4-BE49-F238E27FC236}">
                  <a16:creationId xmlns:a16="http://schemas.microsoft.com/office/drawing/2014/main" id="{00000000-0008-0000-0100-00009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3D0C6-1B86-4CD2-87EB-7B6496923514}">
  <sheetPr>
    <pageSetUpPr fitToPage="1"/>
  </sheetPr>
  <dimension ref="A1:CE51"/>
  <sheetViews>
    <sheetView showGridLines="0" tabSelected="1" zoomScale="80" zoomScaleNormal="80" workbookViewId="0">
      <selection activeCell="I15" sqref="I15:M15"/>
    </sheetView>
  </sheetViews>
  <sheetFormatPr defaultColWidth="2.88671875" defaultRowHeight="15.6" customHeight="1"/>
  <cols>
    <col min="1" max="15" width="3.33203125" style="223" customWidth="1"/>
    <col min="16" max="16" width="6.6640625" style="223" customWidth="1"/>
    <col min="17" max="19" width="3.33203125" style="223" customWidth="1"/>
    <col min="20" max="20" width="6.6640625" style="223" customWidth="1"/>
    <col min="21" max="23" width="3.33203125" style="223" customWidth="1"/>
    <col min="24" max="24" width="6.6640625" style="223" customWidth="1"/>
    <col min="25" max="27" width="3.33203125" style="223" customWidth="1"/>
    <col min="28" max="28" width="6.6640625" style="223" customWidth="1"/>
    <col min="29" max="29" width="3.33203125" style="223" customWidth="1"/>
    <col min="30" max="30" width="2.88671875" style="223" customWidth="1"/>
    <col min="31" max="31" width="3.33203125" style="223" customWidth="1"/>
    <col min="32" max="32" width="3.33203125" style="232" customWidth="1"/>
    <col min="33" max="54" width="3.33203125" style="225" customWidth="1"/>
    <col min="55" max="60" width="3.33203125" style="225" hidden="1" customWidth="1"/>
    <col min="61" max="73" width="3.33203125" style="225" customWidth="1"/>
    <col min="84" max="16384" width="2.88671875" style="223"/>
  </cols>
  <sheetData>
    <row r="1" spans="1:59" ht="18" customHeight="1">
      <c r="A1" s="276" t="s">
        <v>259</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F1" s="224" t="s">
        <v>260</v>
      </c>
    </row>
    <row r="2" spans="1:59" ht="3" customHeight="1">
      <c r="A2" s="226"/>
      <c r="AC2" s="226"/>
      <c r="AF2" s="227"/>
    </row>
    <row r="3" spans="1:59" ht="15.6" customHeight="1">
      <c r="A3" s="226"/>
      <c r="B3" s="228" t="s">
        <v>261</v>
      </c>
      <c r="C3" s="229" t="s">
        <v>262</v>
      </c>
      <c r="D3" s="230"/>
      <c r="E3" s="230"/>
      <c r="F3" s="230"/>
      <c r="G3" s="231"/>
      <c r="H3" s="231"/>
      <c r="I3" s="231"/>
      <c r="J3" s="231"/>
      <c r="K3" s="231"/>
      <c r="L3" s="231"/>
      <c r="M3" s="231"/>
      <c r="N3" s="231"/>
      <c r="O3" s="231"/>
      <c r="P3" s="230"/>
      <c r="Q3" s="230"/>
      <c r="R3" s="230"/>
      <c r="S3" s="230"/>
      <c r="T3" s="230"/>
      <c r="U3" s="230"/>
      <c r="V3" s="230"/>
      <c r="W3" s="230"/>
      <c r="X3" s="230"/>
      <c r="Y3" s="230"/>
      <c r="Z3" s="230"/>
      <c r="AA3" s="230"/>
      <c r="AB3" s="230"/>
      <c r="AC3" s="226"/>
      <c r="BC3" s="233" t="s">
        <v>263</v>
      </c>
      <c r="BD3" s="234"/>
      <c r="BE3" s="234"/>
      <c r="BF3" s="235"/>
      <c r="BG3" s="223"/>
    </row>
    <row r="4" spans="1:59" ht="15.6" customHeight="1">
      <c r="A4" s="226"/>
      <c r="B4" s="228" t="s">
        <v>261</v>
      </c>
      <c r="C4" s="223" t="s">
        <v>264</v>
      </c>
      <c r="D4" s="236"/>
      <c r="E4" s="236"/>
      <c r="F4" s="236"/>
      <c r="G4" s="236"/>
      <c r="H4" s="236"/>
      <c r="I4" s="237"/>
      <c r="J4" s="238"/>
      <c r="K4" s="238"/>
      <c r="L4" s="238"/>
      <c r="M4" s="238"/>
      <c r="N4" s="238"/>
      <c r="O4" s="238"/>
      <c r="P4" s="238"/>
      <c r="Q4" s="238"/>
      <c r="R4" s="238"/>
      <c r="S4" s="238"/>
      <c r="T4" s="238"/>
      <c r="U4" s="238"/>
      <c r="V4" s="238"/>
      <c r="W4" s="238"/>
      <c r="X4" s="238"/>
      <c r="Y4" s="238"/>
      <c r="Z4" s="238"/>
      <c r="AA4" s="230"/>
      <c r="AB4" s="230"/>
      <c r="AC4" s="226"/>
      <c r="BC4" s="239" t="s">
        <v>265</v>
      </c>
      <c r="BD4" s="240"/>
      <c r="BE4" s="240"/>
      <c r="BF4" s="241"/>
      <c r="BG4" s="223"/>
    </row>
    <row r="5" spans="1:59" ht="14.4" customHeight="1">
      <c r="A5" s="226"/>
      <c r="B5" s="230"/>
      <c r="C5" s="242" t="s">
        <v>266</v>
      </c>
      <c r="D5" s="229" t="s">
        <v>267</v>
      </c>
      <c r="E5" s="230"/>
      <c r="F5" s="230"/>
      <c r="G5" s="230"/>
      <c r="H5" s="231"/>
      <c r="T5" s="238"/>
      <c r="U5" s="238"/>
      <c r="V5" s="238"/>
      <c r="W5" s="238"/>
      <c r="X5" s="238"/>
      <c r="Y5" s="238"/>
      <c r="Z5" s="238"/>
      <c r="AA5" s="230"/>
      <c r="AB5" s="230"/>
      <c r="AC5" s="226"/>
      <c r="BC5" s="223" t="s">
        <v>268</v>
      </c>
      <c r="BD5" s="223"/>
      <c r="BE5" s="223"/>
      <c r="BF5" s="223"/>
      <c r="BG5" s="223"/>
    </row>
    <row r="6" spans="1:59" ht="14.4" customHeight="1">
      <c r="A6" s="226"/>
      <c r="B6" s="230"/>
      <c r="C6" s="242" t="s">
        <v>266</v>
      </c>
      <c r="D6" s="223" t="s">
        <v>269</v>
      </c>
      <c r="T6" s="238"/>
      <c r="U6" s="238"/>
      <c r="V6" s="238"/>
      <c r="W6" s="238"/>
      <c r="X6" s="238"/>
      <c r="Y6" s="238"/>
      <c r="Z6" s="238"/>
      <c r="AA6" s="230"/>
      <c r="AB6" s="230"/>
      <c r="AC6" s="226"/>
    </row>
    <row r="7" spans="1:59" ht="14.4" customHeight="1">
      <c r="A7" s="226"/>
      <c r="B7" s="230"/>
      <c r="C7" s="242" t="s">
        <v>266</v>
      </c>
      <c r="D7" s="223" t="s">
        <v>270</v>
      </c>
      <c r="T7" s="238"/>
      <c r="U7" s="238"/>
      <c r="V7" s="238"/>
      <c r="W7" s="238"/>
      <c r="X7" s="238"/>
      <c r="Y7" s="238"/>
      <c r="Z7" s="238"/>
      <c r="AA7" s="230"/>
      <c r="AB7" s="230"/>
      <c r="AC7" s="226"/>
    </row>
    <row r="8" spans="1:59" ht="14.4" customHeight="1">
      <c r="A8" s="226"/>
      <c r="B8" s="230"/>
      <c r="C8" s="242" t="s">
        <v>266</v>
      </c>
      <c r="D8" s="223" t="s">
        <v>271</v>
      </c>
      <c r="T8" s="238"/>
      <c r="U8" s="238"/>
      <c r="V8" s="238"/>
      <c r="W8" s="238"/>
      <c r="X8" s="238"/>
      <c r="Y8" s="238"/>
      <c r="Z8" s="238"/>
      <c r="AA8" s="230"/>
      <c r="AB8" s="230"/>
      <c r="AC8" s="226"/>
    </row>
    <row r="9" spans="1:59" ht="14.4" customHeight="1">
      <c r="A9" s="226"/>
      <c r="B9" s="230"/>
      <c r="C9" s="242" t="s">
        <v>266</v>
      </c>
      <c r="D9" s="223" t="s">
        <v>272</v>
      </c>
      <c r="T9" s="238"/>
      <c r="U9" s="238"/>
      <c r="V9" s="238"/>
      <c r="W9" s="238"/>
      <c r="X9" s="238"/>
      <c r="Y9" s="238"/>
      <c r="Z9" s="238"/>
      <c r="AA9" s="230"/>
      <c r="AB9" s="230"/>
      <c r="AC9" s="226"/>
    </row>
    <row r="10" spans="1:59" ht="3" customHeight="1">
      <c r="A10" s="226"/>
      <c r="B10" s="230"/>
      <c r="C10" s="243"/>
      <c r="D10" s="236"/>
      <c r="E10" s="236"/>
      <c r="F10" s="236"/>
      <c r="G10" s="236"/>
      <c r="H10" s="236"/>
      <c r="I10" s="237"/>
      <c r="J10" s="238"/>
      <c r="K10" s="238"/>
      <c r="L10" s="238"/>
      <c r="M10" s="238"/>
      <c r="N10" s="238"/>
      <c r="O10" s="238"/>
      <c r="P10" s="238"/>
      <c r="Q10" s="238"/>
      <c r="R10" s="238"/>
      <c r="S10" s="238"/>
      <c r="T10" s="238"/>
      <c r="U10" s="238"/>
      <c r="V10" s="238"/>
      <c r="W10" s="238"/>
      <c r="X10" s="238"/>
      <c r="Y10" s="238"/>
      <c r="Z10" s="238"/>
      <c r="AA10" s="230"/>
      <c r="AB10" s="230"/>
      <c r="AC10" s="226"/>
    </row>
    <row r="11" spans="1:59" ht="15.6" customHeight="1">
      <c r="A11" s="226"/>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row>
    <row r="12" spans="1:59" ht="3" customHeight="1">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row>
    <row r="13" spans="1:59" ht="15.6" customHeight="1">
      <c r="A13" s="230" t="s">
        <v>273</v>
      </c>
      <c r="B13" s="230"/>
      <c r="C13" s="230"/>
      <c r="D13" s="230"/>
      <c r="E13" s="230"/>
      <c r="F13" s="230"/>
      <c r="G13" s="230"/>
      <c r="H13" s="230"/>
      <c r="I13" s="230"/>
      <c r="J13" s="230"/>
      <c r="K13" s="230"/>
      <c r="L13" s="230"/>
      <c r="M13" s="230"/>
      <c r="N13" s="230"/>
      <c r="O13" s="230"/>
      <c r="P13" s="230"/>
      <c r="Q13" s="230"/>
      <c r="R13" s="245"/>
      <c r="S13" s="246"/>
      <c r="T13" s="277" t="s">
        <v>274</v>
      </c>
      <c r="U13" s="277"/>
      <c r="V13" s="277"/>
      <c r="W13" s="277"/>
      <c r="X13" s="247"/>
      <c r="Y13" s="248"/>
      <c r="Z13" s="246" t="s">
        <v>275</v>
      </c>
      <c r="AA13" s="246"/>
      <c r="AB13" s="249"/>
      <c r="AC13" s="230"/>
      <c r="AF13" s="232" t="s">
        <v>276</v>
      </c>
    </row>
    <row r="14" spans="1:59" ht="15.6" customHeight="1" thickBot="1">
      <c r="B14" s="230"/>
      <c r="C14" s="230"/>
      <c r="D14" s="230"/>
      <c r="E14" s="230"/>
      <c r="F14" s="230"/>
      <c r="G14" s="230"/>
      <c r="H14" s="230"/>
      <c r="I14" s="278" t="s">
        <v>277</v>
      </c>
      <c r="J14" s="278"/>
      <c r="K14" s="278"/>
      <c r="L14" s="278"/>
      <c r="M14" s="278"/>
      <c r="N14" s="279" t="s">
        <v>278</v>
      </c>
      <c r="O14" s="279"/>
      <c r="P14" s="279"/>
      <c r="Q14" s="279"/>
      <c r="R14" s="279" t="s">
        <v>279</v>
      </c>
      <c r="S14" s="279"/>
      <c r="T14" s="279"/>
      <c r="U14" s="279"/>
      <c r="V14" s="279" t="s">
        <v>280</v>
      </c>
      <c r="W14" s="279"/>
      <c r="X14" s="279"/>
      <c r="Y14" s="279"/>
      <c r="Z14" s="279" t="s">
        <v>281</v>
      </c>
      <c r="AA14" s="279"/>
      <c r="AB14" s="279"/>
      <c r="AC14" s="279"/>
      <c r="AF14" s="283" t="s">
        <v>282</v>
      </c>
      <c r="AG14" s="283"/>
      <c r="AH14" s="283"/>
      <c r="AI14" s="283"/>
      <c r="AJ14" s="283"/>
      <c r="AK14" s="283"/>
      <c r="AL14" s="283"/>
      <c r="AM14" s="283"/>
      <c r="AN14" s="283"/>
      <c r="AO14" s="283"/>
      <c r="AP14" s="283"/>
      <c r="AQ14" s="283"/>
      <c r="AR14" s="283"/>
      <c r="AS14" s="283"/>
      <c r="AT14" s="283"/>
      <c r="AU14" s="283"/>
      <c r="AV14" s="283"/>
      <c r="AW14" s="283"/>
      <c r="AX14" s="283"/>
      <c r="AY14" s="283"/>
      <c r="AZ14" s="283"/>
      <c r="BA14" s="283"/>
    </row>
    <row r="15" spans="1:59" ht="15.6" customHeight="1" thickTop="1" thickBot="1">
      <c r="A15" s="228" t="s">
        <v>283</v>
      </c>
      <c r="B15" s="284" t="s">
        <v>284</v>
      </c>
      <c r="C15" s="284"/>
      <c r="D15" s="284"/>
      <c r="E15" s="284"/>
      <c r="F15" s="284"/>
      <c r="G15" s="284"/>
      <c r="H15" s="285"/>
      <c r="I15" s="286" t="s">
        <v>263</v>
      </c>
      <c r="J15" s="287"/>
      <c r="K15" s="287"/>
      <c r="L15" s="287"/>
      <c r="M15" s="288"/>
      <c r="N15" s="289"/>
      <c r="O15" s="290"/>
      <c r="P15" s="290"/>
      <c r="Q15" s="289"/>
      <c r="R15" s="291"/>
      <c r="S15" s="291"/>
      <c r="T15" s="291"/>
      <c r="U15" s="291"/>
      <c r="V15" s="291"/>
      <c r="W15" s="291"/>
      <c r="X15" s="291"/>
      <c r="Y15" s="291"/>
      <c r="Z15" s="291"/>
      <c r="AA15" s="291"/>
      <c r="AB15" s="291"/>
      <c r="AC15" s="291"/>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row>
    <row r="16" spans="1:59" ht="15.6" customHeight="1" thickTop="1" thickBot="1">
      <c r="A16" s="228" t="s">
        <v>285</v>
      </c>
      <c r="B16" s="292" t="s">
        <v>286</v>
      </c>
      <c r="C16" s="292"/>
      <c r="D16" s="292"/>
      <c r="E16" s="292"/>
      <c r="F16" s="292"/>
      <c r="G16" s="292"/>
      <c r="H16" s="293"/>
      <c r="I16" s="294" t="s">
        <v>89</v>
      </c>
      <c r="J16" s="295"/>
      <c r="K16" s="295"/>
      <c r="L16" s="295"/>
      <c r="M16" s="295"/>
      <c r="N16" s="280"/>
      <c r="O16" s="281"/>
      <c r="P16" s="281"/>
      <c r="Q16" s="282"/>
      <c r="R16" s="280"/>
      <c r="S16" s="281"/>
      <c r="T16" s="281"/>
      <c r="U16" s="282"/>
      <c r="V16" s="280"/>
      <c r="W16" s="281"/>
      <c r="X16" s="281"/>
      <c r="Y16" s="282"/>
      <c r="Z16" s="280"/>
      <c r="AA16" s="281"/>
      <c r="AB16" s="281"/>
      <c r="AC16" s="282"/>
      <c r="AD16" s="250"/>
    </row>
    <row r="17" spans="1:57" ht="15.6" customHeight="1" thickTop="1" thickBot="1">
      <c r="A17" s="228" t="s">
        <v>287</v>
      </c>
      <c r="B17" s="296" t="s">
        <v>288</v>
      </c>
      <c r="C17" s="297"/>
      <c r="D17" s="297"/>
      <c r="E17" s="297"/>
      <c r="F17" s="297"/>
      <c r="G17" s="297"/>
      <c r="H17" s="297"/>
      <c r="I17" s="298"/>
      <c r="J17" s="298"/>
      <c r="K17" s="298"/>
      <c r="L17" s="298"/>
      <c r="M17" s="298"/>
      <c r="N17" s="298"/>
      <c r="O17" s="298"/>
      <c r="P17" s="298"/>
      <c r="Q17" s="298"/>
      <c r="R17" s="298"/>
      <c r="S17" s="298"/>
      <c r="T17" s="298"/>
      <c r="U17" s="298"/>
      <c r="V17" s="298"/>
      <c r="W17" s="298"/>
      <c r="X17" s="298"/>
      <c r="Y17" s="298"/>
      <c r="Z17" s="298"/>
      <c r="AA17" s="298"/>
      <c r="AB17" s="298"/>
      <c r="AC17" s="299"/>
    </row>
    <row r="18" spans="1:57" ht="15.6" customHeight="1" thickTop="1">
      <c r="A18" s="228"/>
      <c r="B18" s="300" t="s">
        <v>289</v>
      </c>
      <c r="C18" s="300"/>
      <c r="D18" s="300"/>
      <c r="E18" s="300"/>
      <c r="F18" s="300"/>
      <c r="G18" s="300"/>
      <c r="H18" s="301"/>
      <c r="I18" s="302"/>
      <c r="J18" s="303"/>
      <c r="K18" s="303"/>
      <c r="L18" s="303"/>
      <c r="M18" s="303"/>
      <c r="N18" s="304"/>
      <c r="O18" s="305"/>
      <c r="P18" s="305"/>
      <c r="Q18" s="306"/>
      <c r="R18" s="304"/>
      <c r="S18" s="305"/>
      <c r="T18" s="305"/>
      <c r="U18" s="306"/>
      <c r="V18" s="304"/>
      <c r="W18" s="305"/>
      <c r="X18" s="305"/>
      <c r="Y18" s="306"/>
      <c r="Z18" s="304"/>
      <c r="AA18" s="305"/>
      <c r="AB18" s="305"/>
      <c r="AC18" s="307"/>
    </row>
    <row r="19" spans="1:57" ht="15.6" customHeight="1">
      <c r="A19" s="228"/>
      <c r="B19" s="279" t="s">
        <v>290</v>
      </c>
      <c r="C19" s="279"/>
      <c r="D19" s="279"/>
      <c r="E19" s="279"/>
      <c r="F19" s="279"/>
      <c r="G19" s="279"/>
      <c r="H19" s="311"/>
      <c r="I19" s="312"/>
      <c r="J19" s="313"/>
      <c r="K19" s="313"/>
      <c r="L19" s="313"/>
      <c r="M19" s="313"/>
      <c r="N19" s="314"/>
      <c r="O19" s="315"/>
      <c r="P19" s="315"/>
      <c r="Q19" s="316"/>
      <c r="R19" s="314"/>
      <c r="S19" s="315"/>
      <c r="T19" s="315"/>
      <c r="U19" s="316"/>
      <c r="V19" s="314"/>
      <c r="W19" s="315"/>
      <c r="X19" s="315"/>
      <c r="Y19" s="316"/>
      <c r="Z19" s="314"/>
      <c r="AA19" s="315"/>
      <c r="AB19" s="315"/>
      <c r="AC19" s="317"/>
    </row>
    <row r="20" spans="1:57" ht="15.6" customHeight="1" thickBot="1">
      <c r="A20" s="228"/>
      <c r="B20" s="279" t="s">
        <v>291</v>
      </c>
      <c r="C20" s="279"/>
      <c r="D20" s="279"/>
      <c r="E20" s="279"/>
      <c r="F20" s="279"/>
      <c r="G20" s="279"/>
      <c r="H20" s="311"/>
      <c r="I20" s="318"/>
      <c r="J20" s="319"/>
      <c r="K20" s="319"/>
      <c r="L20" s="319"/>
      <c r="M20" s="319"/>
      <c r="N20" s="308"/>
      <c r="O20" s="309"/>
      <c r="P20" s="309"/>
      <c r="Q20" s="320"/>
      <c r="R20" s="308"/>
      <c r="S20" s="309"/>
      <c r="T20" s="309"/>
      <c r="U20" s="320"/>
      <c r="V20" s="308"/>
      <c r="W20" s="309"/>
      <c r="X20" s="309"/>
      <c r="Y20" s="320"/>
      <c r="Z20" s="308"/>
      <c r="AA20" s="309"/>
      <c r="AB20" s="309"/>
      <c r="AC20" s="310"/>
      <c r="AE20" s="251"/>
    </row>
    <row r="21" spans="1:57" ht="15.6" customHeight="1" thickTop="1">
      <c r="B21" s="279" t="s">
        <v>292</v>
      </c>
      <c r="C21" s="279"/>
      <c r="D21" s="279"/>
      <c r="E21" s="279"/>
      <c r="F21" s="279"/>
      <c r="G21" s="279"/>
      <c r="H21" s="279"/>
      <c r="I21" s="322">
        <f>SUM(I18:M20)</f>
        <v>0</v>
      </c>
      <c r="J21" s="322"/>
      <c r="K21" s="322"/>
      <c r="L21" s="322"/>
      <c r="M21" s="322"/>
      <c r="N21" s="322">
        <f>SUM(N18:Q20)</f>
        <v>0</v>
      </c>
      <c r="O21" s="322"/>
      <c r="P21" s="322"/>
      <c r="Q21" s="322"/>
      <c r="R21" s="322">
        <f t="shared" ref="R21" si="0">SUM(R18:U20)</f>
        <v>0</v>
      </c>
      <c r="S21" s="322"/>
      <c r="T21" s="322"/>
      <c r="U21" s="322"/>
      <c r="V21" s="322">
        <f t="shared" ref="V21" si="1">SUM(V18:Y20)</f>
        <v>0</v>
      </c>
      <c r="W21" s="322"/>
      <c r="X21" s="322"/>
      <c r="Y21" s="322"/>
      <c r="Z21" s="322">
        <f t="shared" ref="Z21" si="2">SUM(Z18:AC20)</f>
        <v>0</v>
      </c>
      <c r="AA21" s="322"/>
      <c r="AB21" s="322"/>
      <c r="AC21" s="322"/>
    </row>
    <row r="22" spans="1:57" ht="3" customHeight="1">
      <c r="F22" s="323"/>
      <c r="G22" s="323"/>
      <c r="H22" s="323"/>
      <c r="I22" s="323"/>
      <c r="J22" s="323"/>
      <c r="K22" s="252"/>
      <c r="L22" s="324"/>
      <c r="M22" s="324"/>
      <c r="N22" s="324"/>
      <c r="O22" s="324"/>
      <c r="P22" s="252"/>
      <c r="Q22" s="325"/>
      <c r="R22" s="325"/>
      <c r="S22" s="325"/>
      <c r="T22" s="252"/>
      <c r="U22" s="324"/>
      <c r="V22" s="324"/>
      <c r="W22" s="324"/>
      <c r="X22" s="252"/>
      <c r="Y22" s="324"/>
      <c r="Z22" s="324"/>
      <c r="AA22" s="324"/>
      <c r="AB22" s="252"/>
    </row>
    <row r="23" spans="1:57" ht="15.6" customHeight="1">
      <c r="B23" s="230" t="s">
        <v>293</v>
      </c>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53"/>
    </row>
    <row r="24" spans="1:57" ht="15.6" customHeight="1">
      <c r="B24" s="230"/>
      <c r="C24" s="230" t="s">
        <v>294</v>
      </c>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2"/>
    </row>
    <row r="25" spans="1:57" ht="15.6" customHeight="1">
      <c r="B25" s="230"/>
      <c r="C25" s="230" t="s">
        <v>295</v>
      </c>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row>
    <row r="26" spans="1:57" ht="15.6" customHeight="1">
      <c r="B26" s="230" t="s">
        <v>296</v>
      </c>
      <c r="C26" s="230"/>
      <c r="D26" s="230"/>
      <c r="E26" s="230"/>
      <c r="F26" s="230"/>
      <c r="G26" s="230"/>
      <c r="H26" s="230"/>
      <c r="I26" s="230"/>
      <c r="J26" s="230"/>
      <c r="K26" s="230"/>
    </row>
    <row r="27" spans="1:57" ht="15.6" customHeight="1">
      <c r="B27" s="230"/>
      <c r="C27" s="230" t="s">
        <v>297</v>
      </c>
      <c r="D27" s="230"/>
      <c r="E27" s="230"/>
      <c r="F27" s="230"/>
      <c r="G27" s="230"/>
      <c r="H27" s="230"/>
      <c r="I27" s="230"/>
      <c r="J27" s="230"/>
      <c r="K27" s="230"/>
      <c r="BE27" s="251"/>
    </row>
    <row r="28" spans="1:57" ht="15.6" customHeight="1">
      <c r="B28" s="230"/>
      <c r="C28" s="230" t="s">
        <v>298</v>
      </c>
      <c r="D28" s="230"/>
      <c r="E28" s="230"/>
      <c r="F28" s="230"/>
      <c r="G28" s="230"/>
      <c r="H28" s="230"/>
      <c r="I28" s="230"/>
      <c r="J28" s="230"/>
      <c r="K28" s="230"/>
    </row>
    <row r="29" spans="1:57" ht="15.6" customHeight="1">
      <c r="B29" s="230" t="s">
        <v>299</v>
      </c>
      <c r="C29" s="230"/>
      <c r="D29" s="230"/>
      <c r="E29" s="230"/>
      <c r="F29" s="230"/>
      <c r="G29" s="230"/>
      <c r="H29" s="230"/>
      <c r="I29" s="230"/>
      <c r="J29" s="230"/>
      <c r="AD29" s="251"/>
    </row>
    <row r="30" spans="1:57" ht="15.6" customHeight="1">
      <c r="B30" s="230"/>
      <c r="C30" s="230" t="s">
        <v>300</v>
      </c>
      <c r="D30" s="230"/>
      <c r="E30" s="230"/>
      <c r="F30" s="230"/>
      <c r="G30" s="230"/>
      <c r="H30" s="230"/>
      <c r="I30" s="230"/>
      <c r="J30" s="230"/>
    </row>
    <row r="31" spans="1:57" ht="15.6" customHeight="1">
      <c r="C31" s="254" t="s">
        <v>301</v>
      </c>
      <c r="D31" s="238" t="s">
        <v>302</v>
      </c>
      <c r="E31" s="230"/>
      <c r="F31" s="230"/>
      <c r="G31" s="230"/>
      <c r="AB31" s="255"/>
    </row>
    <row r="32" spans="1:57" ht="3" customHeight="1"/>
    <row r="33" spans="1:59" ht="15.6" customHeight="1">
      <c r="A33" s="321" t="s">
        <v>303</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row>
    <row r="34" spans="1:59" s="251" customFormat="1" ht="4.8" customHeight="1">
      <c r="A34" s="256"/>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6"/>
      <c r="AD34" s="223"/>
      <c r="AE34" s="223"/>
      <c r="AF34" s="232"/>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row>
    <row r="35" spans="1:59" ht="15.6" customHeight="1" thickBot="1">
      <c r="A35" s="258"/>
      <c r="B35" s="251"/>
      <c r="C35" s="259" t="s">
        <v>304</v>
      </c>
      <c r="D35" s="259"/>
      <c r="E35" s="259"/>
      <c r="F35" s="251"/>
      <c r="G35" s="251"/>
      <c r="H35" s="251"/>
      <c r="I35" s="260">
        <f>料率!CE21</f>
        <v>1</v>
      </c>
      <c r="J35" s="251" t="s">
        <v>305</v>
      </c>
      <c r="K35" s="251"/>
      <c r="L35" s="342" t="str">
        <f>IF(I35=0,"軽減なし",IF(料率!CY22="","軽減なし",料率!CY22))</f>
        <v>７割軽減</v>
      </c>
      <c r="M35" s="342"/>
      <c r="N35" s="343"/>
      <c r="O35" s="259" t="s">
        <v>306</v>
      </c>
      <c r="P35" s="261"/>
      <c r="Q35" s="261"/>
      <c r="R35" s="251"/>
      <c r="S35" s="251"/>
      <c r="T35" s="251"/>
      <c r="U35" s="251"/>
      <c r="V35" s="251"/>
      <c r="W35" s="262"/>
      <c r="X35" s="259"/>
      <c r="Y35" s="263"/>
      <c r="Z35" s="263"/>
      <c r="AA35" s="263"/>
      <c r="AB35" s="263"/>
      <c r="AC35" s="258"/>
    </row>
    <row r="36" spans="1:59" ht="15.6" customHeight="1" thickTop="1">
      <c r="A36" s="264"/>
      <c r="C36" s="265" t="s">
        <v>283</v>
      </c>
      <c r="D36" s="336" t="s">
        <v>307</v>
      </c>
      <c r="E36" s="336"/>
      <c r="F36" s="336"/>
      <c r="G36" s="336"/>
      <c r="H36" s="337"/>
      <c r="I36" s="338">
        <f>IF(I35=0,0,料率!CX26)</f>
        <v>17300</v>
      </c>
      <c r="J36" s="339"/>
      <c r="K36" s="339"/>
      <c r="L36" s="339"/>
      <c r="M36" s="339"/>
      <c r="N36" s="266" t="s">
        <v>308</v>
      </c>
      <c r="O36" s="267"/>
      <c r="P36" s="326" t="s">
        <v>309</v>
      </c>
      <c r="Q36" s="327"/>
      <c r="R36" s="327"/>
      <c r="S36" s="328"/>
      <c r="T36" s="332">
        <f>IF(I35=0,0,料率!CV4)</f>
        <v>1925</v>
      </c>
      <c r="U36" s="333"/>
      <c r="V36" s="328" t="s">
        <v>64</v>
      </c>
      <c r="AC36" s="268"/>
      <c r="BF36" s="251"/>
      <c r="BG36" s="251"/>
    </row>
    <row r="37" spans="1:59" ht="15.6" customHeight="1" thickBot="1">
      <c r="A37" s="264"/>
      <c r="C37" s="265" t="s">
        <v>285</v>
      </c>
      <c r="D37" s="336" t="s">
        <v>310</v>
      </c>
      <c r="E37" s="336"/>
      <c r="F37" s="336"/>
      <c r="G37" s="336"/>
      <c r="H37" s="337"/>
      <c r="I37" s="338">
        <f>IF(I35=0,0,料率!CX37)</f>
        <v>5800</v>
      </c>
      <c r="J37" s="339"/>
      <c r="K37" s="339"/>
      <c r="L37" s="339"/>
      <c r="M37" s="339"/>
      <c r="N37" s="266" t="s">
        <v>308</v>
      </c>
      <c r="O37" s="267"/>
      <c r="P37" s="329"/>
      <c r="Q37" s="330"/>
      <c r="R37" s="330"/>
      <c r="S37" s="331"/>
      <c r="T37" s="334"/>
      <c r="U37" s="335"/>
      <c r="V37" s="331"/>
      <c r="AA37" s="269"/>
      <c r="AB37" s="269"/>
      <c r="AC37" s="270"/>
    </row>
    <row r="38" spans="1:59" ht="15.6" customHeight="1" thickTop="1">
      <c r="A38" s="264"/>
      <c r="C38" s="265" t="s">
        <v>287</v>
      </c>
      <c r="D38" s="336" t="s">
        <v>311</v>
      </c>
      <c r="E38" s="336"/>
      <c r="F38" s="336"/>
      <c r="G38" s="336"/>
      <c r="H38" s="337"/>
      <c r="I38" s="338">
        <f>IF(I35=0,0,料率!CX59)</f>
        <v>0</v>
      </c>
      <c r="J38" s="339"/>
      <c r="K38" s="339"/>
      <c r="L38" s="339"/>
      <c r="M38" s="339"/>
      <c r="N38" s="266" t="s">
        <v>308</v>
      </c>
      <c r="O38" s="267"/>
      <c r="P38" s="271" t="s">
        <v>312</v>
      </c>
      <c r="Q38" s="271"/>
      <c r="R38" s="271"/>
      <c r="S38" s="271"/>
      <c r="T38" s="271"/>
      <c r="U38" s="271"/>
      <c r="V38" s="271"/>
      <c r="W38" s="271"/>
      <c r="X38" s="271"/>
      <c r="Y38" s="271"/>
      <c r="Z38" s="271"/>
      <c r="AA38" s="271"/>
      <c r="AB38" s="271"/>
      <c r="AC38" s="272"/>
    </row>
    <row r="39" spans="1:59" ht="15.6" customHeight="1">
      <c r="A39" s="264"/>
      <c r="C39" s="311" t="s">
        <v>313</v>
      </c>
      <c r="D39" s="340"/>
      <c r="E39" s="340"/>
      <c r="F39" s="340"/>
      <c r="G39" s="340"/>
      <c r="H39" s="341"/>
      <c r="I39" s="338">
        <f>IF(I35=0,0,料率!CG4)</f>
        <v>23100</v>
      </c>
      <c r="J39" s="339"/>
      <c r="K39" s="339"/>
      <c r="L39" s="339"/>
      <c r="M39" s="339"/>
      <c r="N39" s="266" t="s">
        <v>308</v>
      </c>
      <c r="O39" s="230"/>
      <c r="P39" s="271" t="s">
        <v>314</v>
      </c>
      <c r="Q39" s="271"/>
      <c r="R39" s="271"/>
      <c r="S39" s="271"/>
      <c r="T39" s="271"/>
      <c r="U39" s="271"/>
      <c r="V39" s="271"/>
      <c r="W39" s="271"/>
      <c r="X39" s="271"/>
      <c r="Y39" s="271"/>
      <c r="Z39" s="271"/>
      <c r="AA39" s="271"/>
      <c r="AB39" s="271"/>
      <c r="AC39" s="272"/>
    </row>
    <row r="40" spans="1:59" ht="3" customHeight="1">
      <c r="A40" s="264"/>
      <c r="B40" s="230"/>
      <c r="C40" s="230"/>
      <c r="D40" s="230"/>
      <c r="E40" s="230"/>
      <c r="F40" s="230"/>
      <c r="G40" s="230"/>
      <c r="H40" s="230"/>
      <c r="I40" s="230"/>
      <c r="J40" s="230"/>
      <c r="K40" s="230"/>
      <c r="L40" s="230"/>
      <c r="M40" s="230"/>
      <c r="N40" s="230"/>
      <c r="O40" s="230"/>
      <c r="P40" s="230"/>
      <c r="AC40" s="273"/>
    </row>
    <row r="41" spans="1:59" ht="15.6" customHeight="1">
      <c r="A41" s="264"/>
      <c r="B41" s="228" t="s">
        <v>301</v>
      </c>
      <c r="C41" s="230" t="s">
        <v>315</v>
      </c>
      <c r="D41" s="230"/>
      <c r="E41" s="230"/>
      <c r="F41" s="230"/>
      <c r="G41" s="230"/>
      <c r="H41" s="230"/>
      <c r="I41" s="230"/>
      <c r="J41" s="230"/>
      <c r="K41" s="230"/>
      <c r="L41" s="230"/>
      <c r="M41" s="230"/>
      <c r="N41" s="230"/>
      <c r="O41" s="230"/>
      <c r="P41" s="230"/>
      <c r="AC41" s="273"/>
    </row>
    <row r="42" spans="1:59" ht="15.6" customHeight="1">
      <c r="A42" s="264"/>
      <c r="B42" s="228"/>
      <c r="C42" s="230" t="s">
        <v>316</v>
      </c>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64"/>
    </row>
    <row r="43" spans="1:59" ht="15.6" customHeight="1">
      <c r="A43" s="264"/>
      <c r="B43" s="228" t="s">
        <v>301</v>
      </c>
      <c r="C43" s="230" t="s">
        <v>317</v>
      </c>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64"/>
    </row>
    <row r="44" spans="1:59" ht="4.8" customHeight="1">
      <c r="A44" s="264"/>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64"/>
    </row>
    <row r="45" spans="1:59" ht="15.6" customHeight="1">
      <c r="A45" s="264"/>
      <c r="B45" s="274"/>
      <c r="C45" s="264"/>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row>
    <row r="46" spans="1:59" ht="15.6" customHeight="1">
      <c r="H46" s="231"/>
      <c r="I46" s="231"/>
      <c r="J46" s="231"/>
      <c r="K46" s="231"/>
      <c r="L46" s="231"/>
      <c r="M46" s="231"/>
      <c r="N46" s="231"/>
      <c r="O46" s="231"/>
      <c r="P46" s="230"/>
      <c r="Q46" s="230"/>
      <c r="R46" s="230"/>
      <c r="S46" s="230"/>
      <c r="T46" s="230"/>
      <c r="U46" s="230"/>
      <c r="V46" s="230"/>
      <c r="W46" s="230"/>
      <c r="X46" s="230"/>
      <c r="Y46" s="230"/>
      <c r="Z46" s="230"/>
      <c r="AA46" s="230"/>
      <c r="AB46" s="230"/>
    </row>
    <row r="47" spans="1:59" ht="15.6" customHeight="1">
      <c r="B47" s="228"/>
      <c r="C47" s="229"/>
      <c r="D47" s="230"/>
      <c r="E47" s="230"/>
      <c r="F47" s="230"/>
      <c r="G47" s="231"/>
    </row>
    <row r="48" spans="1:59" ht="15.6" customHeight="1">
      <c r="B48" s="228"/>
    </row>
    <row r="49" spans="2:2" ht="15.6" customHeight="1">
      <c r="B49" s="228"/>
    </row>
    <row r="50" spans="2:2" ht="15.6" customHeight="1">
      <c r="B50" s="228"/>
    </row>
    <row r="51" spans="2:2" ht="15.6" customHeight="1">
      <c r="B51" s="228"/>
    </row>
  </sheetData>
  <sheetProtection password="D117" sheet="1" objects="1" scenarios="1" selectLockedCells="1"/>
  <protectedRanges>
    <protectedRange sqref="I15:I16 N16 I18:I20 N18:N20 R18:R20 V18:V20 Z18:Z20 R16 V16 Z16" name="範囲1"/>
  </protectedRanges>
  <dataConsolidate/>
  <mergeCells count="63">
    <mergeCell ref="D38:H38"/>
    <mergeCell ref="I38:M38"/>
    <mergeCell ref="C39:H39"/>
    <mergeCell ref="I39:M39"/>
    <mergeCell ref="L35:N35"/>
    <mergeCell ref="D36:H36"/>
    <mergeCell ref="I36:M36"/>
    <mergeCell ref="P36:S37"/>
    <mergeCell ref="T36:U37"/>
    <mergeCell ref="V36:V37"/>
    <mergeCell ref="D37:H37"/>
    <mergeCell ref="I37:M37"/>
    <mergeCell ref="A33:AC33"/>
    <mergeCell ref="B21:H21"/>
    <mergeCell ref="I21:M21"/>
    <mergeCell ref="N21:Q21"/>
    <mergeCell ref="R21:U21"/>
    <mergeCell ref="V21:Y21"/>
    <mergeCell ref="Z21:AC21"/>
    <mergeCell ref="F22:J22"/>
    <mergeCell ref="L22:O22"/>
    <mergeCell ref="Q22:S22"/>
    <mergeCell ref="U22:W22"/>
    <mergeCell ref="Y22:AA22"/>
    <mergeCell ref="Z20:AC20"/>
    <mergeCell ref="B19:H19"/>
    <mergeCell ref="I19:M19"/>
    <mergeCell ref="N19:Q19"/>
    <mergeCell ref="R19:U19"/>
    <mergeCell ref="V19:Y19"/>
    <mergeCell ref="Z19:AC19"/>
    <mergeCell ref="B20:H20"/>
    <mergeCell ref="I20:M20"/>
    <mergeCell ref="N20:Q20"/>
    <mergeCell ref="R20:U20"/>
    <mergeCell ref="V20:Y20"/>
    <mergeCell ref="B17:AC17"/>
    <mergeCell ref="B18:H18"/>
    <mergeCell ref="I18:M18"/>
    <mergeCell ref="N18:Q18"/>
    <mergeCell ref="R18:U18"/>
    <mergeCell ref="V18:Y18"/>
    <mergeCell ref="Z18:AC18"/>
    <mergeCell ref="Z16:AC16"/>
    <mergeCell ref="AF14:BA15"/>
    <mergeCell ref="B15:H15"/>
    <mergeCell ref="I15:M15"/>
    <mergeCell ref="N15:Q15"/>
    <mergeCell ref="R15:U15"/>
    <mergeCell ref="V15:Y15"/>
    <mergeCell ref="Z15:AC15"/>
    <mergeCell ref="B16:H16"/>
    <mergeCell ref="I16:M16"/>
    <mergeCell ref="N16:Q16"/>
    <mergeCell ref="R16:U16"/>
    <mergeCell ref="V16:Y16"/>
    <mergeCell ref="A1:AC1"/>
    <mergeCell ref="T13:W13"/>
    <mergeCell ref="I14:M14"/>
    <mergeCell ref="N14:Q14"/>
    <mergeCell ref="R14:U14"/>
    <mergeCell ref="V14:Y14"/>
    <mergeCell ref="Z14:AC14"/>
  </mergeCells>
  <phoneticPr fontId="2"/>
  <dataValidations count="2">
    <dataValidation type="list" allowBlank="1" showInputMessage="1" showErrorMessage="1" sqref="I15:M15" xr:uid="{DD9677F2-4303-49F3-9C21-F21DB276B37C}">
      <formula1>$BC$3:$BC$4</formula1>
    </dataValidation>
    <dataValidation imeMode="off" allowBlank="1" showInputMessage="1" showErrorMessage="1" sqref="I18:AC20" xr:uid="{DADAC98F-EB54-4F9C-8E7F-D09EAF9429E4}"/>
  </dataValidations>
  <printOptions horizontalCentered="1" verticalCentered="1"/>
  <pageMargins left="0" right="0" top="0.98425196850393704" bottom="0.98425196850393704" header="0.51181102362204722" footer="0.51181102362204722"/>
  <pageSetup paperSize="9" scale="77" orientation="landscape" horizontalDpi="4294967293" verticalDpi="160"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ECDB7F-622E-4E36-8208-79AB028812EC}">
          <x14:formula1>
            <xm:f>料率!$DT$6:$DT$8</xm:f>
          </x14:formula1>
          <xm:sqref>I16:M16</xm:sqref>
        </x14:dataValidation>
        <x14:dataValidation type="list" allowBlank="1" showInputMessage="1" showErrorMessage="1" xr:uid="{914A05FA-0FFD-4D73-A0F1-52A99A2386E8}">
          <x14:formula1>
            <xm:f>料率!$DT$4:$DT$8</xm:f>
          </x14:formula1>
          <xm:sqref>N16:AC16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7DD25-9876-433A-866D-7FEE8EF15C5A}">
  <sheetPr>
    <tabColor rgb="FFFFFF00"/>
    <pageSetUpPr fitToPage="1"/>
  </sheetPr>
  <dimension ref="A1:GK107"/>
  <sheetViews>
    <sheetView showGridLines="0" topLeftCell="GL1" zoomScaleNormal="100" zoomScaleSheetLayoutView="100" workbookViewId="0">
      <selection activeCell="GU32" sqref="GU32"/>
    </sheetView>
  </sheetViews>
  <sheetFormatPr defaultColWidth="3.33203125" defaultRowHeight="13.8" customHeight="1"/>
  <cols>
    <col min="1" max="1" width="1.109375" style="114" hidden="1" customWidth="1"/>
    <col min="2" max="31" width="3.6640625" style="114" hidden="1" customWidth="1"/>
    <col min="32" max="41" width="3.33203125" style="114" hidden="1" customWidth="1"/>
    <col min="42" max="42" width="1.21875" style="114" hidden="1" customWidth="1"/>
    <col min="43" max="43" width="3" style="124" hidden="1" customWidth="1"/>
    <col min="44" max="44" width="3.33203125" style="124" hidden="1" customWidth="1"/>
    <col min="45" max="46" width="2.6640625" style="124" hidden="1" customWidth="1"/>
    <col min="47" max="76" width="2.77734375" style="124" hidden="1" customWidth="1"/>
    <col min="77" max="77" width="3.33203125" style="124" hidden="1" customWidth="1"/>
    <col min="78" max="78" width="2.109375" style="7" hidden="1" customWidth="1"/>
    <col min="79" max="79" width="2.77734375" style="7" hidden="1" customWidth="1"/>
    <col min="80" max="80" width="4" style="7" hidden="1" customWidth="1"/>
    <col min="81" max="81" width="2.44140625" style="7" hidden="1" customWidth="1"/>
    <col min="82" max="105" width="3.21875" style="7" hidden="1" customWidth="1"/>
    <col min="106" max="106" width="2.44140625" style="7" hidden="1" customWidth="1"/>
    <col min="107" max="107" width="2.77734375" style="7" hidden="1" customWidth="1"/>
    <col min="108" max="108" width="2.109375" style="7" hidden="1" customWidth="1"/>
    <col min="109" max="109" width="10.88671875" style="7" hidden="1" customWidth="1"/>
    <col min="110" max="169" width="2.6640625" style="7" hidden="1" customWidth="1"/>
    <col min="170" max="170" width="2.6640625" style="70" hidden="1" customWidth="1"/>
    <col min="171" max="190" width="2.6640625" style="7" hidden="1" customWidth="1"/>
    <col min="191" max="191" width="4.6640625" style="7" hidden="1" customWidth="1"/>
    <col min="192" max="192" width="3.88671875" style="7" hidden="1" customWidth="1"/>
    <col min="193" max="193" width="3.33203125" style="7" hidden="1" customWidth="1"/>
    <col min="194" max="16384" width="3.33203125" style="7"/>
  </cols>
  <sheetData>
    <row r="1" spans="1:192" ht="13.8" customHeight="1">
      <c r="B1" s="651">
        <f>YEAR(B3)-2018</f>
        <v>7</v>
      </c>
      <c r="C1" s="651"/>
      <c r="D1" s="651"/>
      <c r="E1" s="651"/>
      <c r="F1" s="651"/>
      <c r="G1" s="651"/>
      <c r="H1" s="651"/>
      <c r="I1" s="651"/>
      <c r="J1" s="651"/>
      <c r="K1" s="651"/>
      <c r="L1" s="651"/>
      <c r="M1" s="651"/>
      <c r="N1" s="651"/>
      <c r="O1" s="651"/>
      <c r="P1" s="65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
      <c r="DF1" s="147" t="s">
        <v>219</v>
      </c>
      <c r="DG1" s="5"/>
      <c r="DH1" s="5"/>
      <c r="DI1" s="5"/>
      <c r="DJ1" s="5"/>
      <c r="DK1" s="5"/>
      <c r="DL1" s="5"/>
      <c r="DM1" s="5"/>
      <c r="DN1" s="5"/>
      <c r="DO1" s="5"/>
      <c r="DP1" s="5"/>
      <c r="DQ1" s="5"/>
      <c r="DR1" s="5"/>
      <c r="DS1" s="5"/>
      <c r="DT1" s="151" t="s">
        <v>220</v>
      </c>
      <c r="DU1" s="150"/>
      <c r="DV1" s="34" t="s">
        <v>221</v>
      </c>
      <c r="DW1" s="34"/>
      <c r="DX1" s="34"/>
      <c r="DY1" s="34"/>
      <c r="DZ1" s="34"/>
      <c r="EA1" s="34"/>
      <c r="EB1" s="34"/>
      <c r="EC1" s="34"/>
      <c r="ED1" s="34"/>
      <c r="EE1" s="34"/>
      <c r="EF1" s="34"/>
      <c r="EG1" s="34"/>
      <c r="EH1" s="34"/>
      <c r="EI1" s="34"/>
      <c r="EJ1" s="34"/>
      <c r="EK1" s="34"/>
      <c r="EL1" s="34"/>
      <c r="EM1" s="34"/>
      <c r="EN1" s="34"/>
      <c r="EO1" s="5"/>
      <c r="EP1" s="5"/>
      <c r="EQ1" s="5"/>
      <c r="ER1" s="5"/>
      <c r="ES1" s="5"/>
      <c r="ET1" s="5"/>
      <c r="EU1" s="5"/>
      <c r="EV1" s="5"/>
      <c r="EW1" s="5"/>
      <c r="EX1" s="5"/>
      <c r="EY1" s="5"/>
      <c r="EZ1" s="5"/>
      <c r="FA1" s="5"/>
      <c r="FB1" s="5"/>
      <c r="FC1" s="5"/>
      <c r="FD1" s="5"/>
      <c r="FE1" s="4"/>
      <c r="FF1" s="4"/>
      <c r="FG1" s="4"/>
      <c r="FH1" s="4"/>
      <c r="FI1" s="4"/>
      <c r="FJ1" s="4"/>
      <c r="FK1" s="4"/>
      <c r="FL1" s="5"/>
      <c r="FM1" s="5"/>
      <c r="FN1" s="6"/>
      <c r="FO1" s="5"/>
      <c r="FP1" s="5"/>
      <c r="FQ1" s="5"/>
      <c r="FR1" s="5"/>
      <c r="FS1" s="5"/>
      <c r="FT1" s="5"/>
      <c r="FU1" s="5"/>
      <c r="FV1" s="5"/>
      <c r="FW1" s="5"/>
      <c r="FX1" s="5"/>
      <c r="FY1" s="5"/>
      <c r="FZ1" s="5"/>
      <c r="GA1" s="5"/>
      <c r="GB1" s="5"/>
      <c r="GC1" s="5"/>
      <c r="GD1" s="5"/>
      <c r="GE1" s="5"/>
      <c r="GF1" s="5"/>
      <c r="GG1" s="5"/>
      <c r="GH1" s="5"/>
      <c r="GI1" s="5"/>
      <c r="GJ1" s="5"/>
    </row>
    <row r="2" spans="1:192" ht="13.8" customHeight="1" thickBot="1">
      <c r="A2" s="104" t="s">
        <v>247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Q2" s="435">
        <f>料率!B3</f>
        <v>45748</v>
      </c>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c r="BU2" s="435"/>
      <c r="BV2" s="435"/>
      <c r="BW2" s="435"/>
      <c r="BX2" s="435"/>
      <c r="BY2" s="122"/>
      <c r="BZ2" s="132"/>
      <c r="CB2" s="631" t="str">
        <f>IF(FA17=FALSE,"令和"&amp;料率!B1&amp;"年度国民健康保険料試算","令和"&amp;料率!B1+1&amp;"年度国民健康保険料試算(令和"&amp;料率!B1&amp;"年度料率)")</f>
        <v>令和7年度国民健康保険料試算</v>
      </c>
      <c r="CC2" s="631"/>
      <c r="CD2" s="631"/>
      <c r="CE2" s="631"/>
      <c r="CF2" s="631"/>
      <c r="CG2" s="631"/>
      <c r="CH2" s="631"/>
      <c r="CI2" s="631"/>
      <c r="CJ2" s="631"/>
      <c r="CK2" s="631"/>
      <c r="CL2" s="631"/>
      <c r="CM2" s="631"/>
      <c r="CN2" s="631"/>
      <c r="CO2" s="631"/>
      <c r="CP2" s="631"/>
      <c r="CQ2" s="631"/>
      <c r="CR2" s="631"/>
      <c r="CS2" s="631"/>
      <c r="CT2" s="631"/>
      <c r="CU2" s="631"/>
      <c r="CV2" s="631"/>
      <c r="CW2" s="146"/>
      <c r="CX2" s="146"/>
      <c r="CY2" s="624">
        <f ca="1">TODAY()</f>
        <v>45806</v>
      </c>
      <c r="CZ2" s="624"/>
      <c r="DA2" s="624"/>
      <c r="DB2" s="624"/>
      <c r="DC2" s="2"/>
      <c r="DD2" s="130"/>
      <c r="DE2" s="1"/>
      <c r="DF2" s="139" t="s">
        <v>201</v>
      </c>
      <c r="DG2" s="34"/>
      <c r="DH2" s="34"/>
      <c r="DI2" s="34"/>
      <c r="DJ2" s="34"/>
      <c r="DK2" s="34"/>
      <c r="DL2" s="34"/>
      <c r="DM2" s="139" t="s">
        <v>202</v>
      </c>
      <c r="DN2" s="34"/>
      <c r="DO2" s="34"/>
      <c r="DP2" s="34"/>
      <c r="DQ2" s="34"/>
      <c r="DR2" s="34"/>
      <c r="DS2" s="33"/>
      <c r="DT2" s="139" t="s">
        <v>203</v>
      </c>
      <c r="DU2" s="34"/>
      <c r="DV2" s="34"/>
      <c r="DW2" s="34"/>
      <c r="DX2" s="34"/>
      <c r="DY2" s="139" t="s">
        <v>97</v>
      </c>
      <c r="DZ2" s="34"/>
      <c r="EA2" s="34"/>
      <c r="EB2" s="52" t="s">
        <v>98</v>
      </c>
      <c r="EC2" s="52" t="s">
        <v>99</v>
      </c>
      <c r="ED2" s="52" t="s">
        <v>100</v>
      </c>
      <c r="EE2" s="52" t="s">
        <v>101</v>
      </c>
      <c r="EF2" s="52" t="s">
        <v>106</v>
      </c>
      <c r="EG2" s="52" t="s">
        <v>91</v>
      </c>
      <c r="EH2" s="141"/>
      <c r="EI2" s="34"/>
      <c r="EJ2" s="34"/>
      <c r="EK2" s="139" t="s">
        <v>73</v>
      </c>
      <c r="EL2" s="139"/>
      <c r="EM2" s="139"/>
      <c r="EN2" s="139"/>
      <c r="EO2" s="139"/>
      <c r="EP2" s="139"/>
      <c r="EQ2" s="139" t="s">
        <v>17</v>
      </c>
      <c r="ER2" s="139"/>
      <c r="ES2" s="139"/>
      <c r="ET2" s="139"/>
      <c r="EU2" s="139"/>
      <c r="EV2" s="139" t="s">
        <v>112</v>
      </c>
      <c r="EW2" s="139"/>
      <c r="EX2" s="139"/>
      <c r="EY2" s="139"/>
      <c r="EZ2" s="139"/>
      <c r="FA2" s="139" t="s">
        <v>128</v>
      </c>
      <c r="FB2" s="139"/>
      <c r="FC2" s="139"/>
      <c r="FD2" s="139"/>
      <c r="FE2" s="33"/>
      <c r="FF2" s="33"/>
      <c r="FG2" s="33"/>
      <c r="FH2" s="33"/>
      <c r="FI2" s="33"/>
      <c r="FJ2" s="33"/>
      <c r="FK2" s="33"/>
      <c r="FL2" s="33"/>
      <c r="FM2" s="148"/>
      <c r="FN2" s="140"/>
      <c r="FO2" s="34"/>
      <c r="FP2" s="34"/>
      <c r="FQ2" s="34"/>
      <c r="FR2" s="34"/>
      <c r="FS2" s="34"/>
      <c r="FT2" s="34"/>
      <c r="FU2" s="34"/>
      <c r="FV2" s="34"/>
      <c r="FW2" s="34"/>
      <c r="FX2" s="34"/>
      <c r="FY2" s="34"/>
      <c r="FZ2" s="34"/>
      <c r="GA2" s="34"/>
      <c r="GB2" s="5"/>
      <c r="GC2" s="5"/>
      <c r="GD2" s="5"/>
      <c r="GE2" s="5"/>
      <c r="GF2" s="5"/>
      <c r="GG2" s="5"/>
      <c r="GH2" s="5"/>
      <c r="GI2" s="5"/>
      <c r="GJ2" s="5"/>
    </row>
    <row r="3" spans="1:192" ht="13.8" customHeight="1" thickBot="1">
      <c r="B3" s="648">
        <v>45748</v>
      </c>
      <c r="C3" s="649"/>
      <c r="D3" s="649"/>
      <c r="E3" s="650"/>
      <c r="F3" s="121"/>
      <c r="G3" s="647"/>
      <c r="H3" s="647"/>
      <c r="I3" s="647"/>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Q3" s="170"/>
      <c r="AR3" s="469" t="s">
        <v>14</v>
      </c>
      <c r="AS3" s="470"/>
      <c r="AT3" s="470"/>
      <c r="AU3" s="470"/>
      <c r="AV3" s="446" t="s">
        <v>62</v>
      </c>
      <c r="AW3" s="447"/>
      <c r="AX3" s="447"/>
      <c r="AY3" s="447"/>
      <c r="AZ3" s="447"/>
      <c r="BA3" s="448"/>
      <c r="BB3" s="452">
        <f>COUNTIF(EB3:EB8,1)</f>
        <v>1</v>
      </c>
      <c r="BC3" s="453"/>
      <c r="BD3" s="170"/>
      <c r="BE3" s="170"/>
      <c r="BF3" s="170"/>
      <c r="BG3" s="170"/>
      <c r="BH3" s="170"/>
      <c r="BI3" s="170"/>
      <c r="BJ3" s="170"/>
      <c r="BK3" s="170"/>
      <c r="BL3" s="170"/>
      <c r="BM3" s="170"/>
      <c r="BN3" s="170"/>
      <c r="BO3" s="437" t="str">
        <f>IF(EL9&lt;=DP22,"７割軽減",IF(EL9&lt;=DP23,"５割軽減",IF(EL9&lt;=DP24,"２割軽減","")))</f>
        <v>７割軽減</v>
      </c>
      <c r="BP3" s="438"/>
      <c r="BQ3" s="438"/>
      <c r="BR3" s="438"/>
      <c r="BS3" s="439"/>
      <c r="BT3" s="170"/>
      <c r="BU3" s="222"/>
      <c r="BV3" s="632">
        <f>EOMONTH(料率!B3,11)</f>
        <v>46112</v>
      </c>
      <c r="BW3" s="632"/>
      <c r="BX3" s="633"/>
      <c r="BY3" s="170"/>
      <c r="BZ3" s="132"/>
      <c r="CB3" s="197" t="str">
        <f>IF(SUM(ED3:ED8)&gt;=1,IF(SUM(EE3:EE8)&gt;=1,"元国保と元社保がいます。この場合は非加入者にしてください",""),"")</f>
        <v/>
      </c>
      <c r="CC3" s="8"/>
      <c r="CD3" s="8"/>
      <c r="CE3" s="8"/>
      <c r="CF3" s="8"/>
      <c r="CG3" s="8"/>
      <c r="CH3" s="8"/>
      <c r="CI3" s="8"/>
      <c r="CJ3" s="8"/>
      <c r="CK3" s="8"/>
      <c r="CL3" s="8"/>
      <c r="CM3" s="8"/>
      <c r="CN3" s="8"/>
      <c r="DD3" s="3" t="s">
        <v>214</v>
      </c>
      <c r="DE3" s="1"/>
      <c r="DF3" s="376" t="s">
        <v>71</v>
      </c>
      <c r="DG3" s="376"/>
      <c r="DH3" s="376"/>
      <c r="DI3" s="376"/>
      <c r="DJ3" s="376"/>
      <c r="DK3" s="376"/>
      <c r="DL3" s="34"/>
      <c r="DM3" s="368" t="s">
        <v>84</v>
      </c>
      <c r="DN3" s="368"/>
      <c r="DO3" s="368"/>
      <c r="DP3" s="368"/>
      <c r="DQ3" s="368"/>
      <c r="DR3" s="368"/>
      <c r="DS3" s="4"/>
      <c r="DT3" s="344" t="s">
        <v>319</v>
      </c>
      <c r="DU3" s="345"/>
      <c r="DV3" s="345"/>
      <c r="DW3" s="346"/>
      <c r="DX3" s="5"/>
      <c r="DY3" s="352" t="s">
        <v>71</v>
      </c>
      <c r="DZ3" s="352"/>
      <c r="EA3" s="352"/>
      <c r="EB3" s="171">
        <f>IF(AU11=DF3,1,0)</f>
        <v>1</v>
      </c>
      <c r="EC3" s="171">
        <f>IF(EB3=1,IF(AU12=DT7,1,0),0)</f>
        <v>0</v>
      </c>
      <c r="ED3" s="171">
        <f>IF(AU11=DM5,1,0)</f>
        <v>0</v>
      </c>
      <c r="EE3" s="171">
        <f>IF(AU11=DM4,1,0)</f>
        <v>0</v>
      </c>
      <c r="EF3" s="171">
        <f>IF(EB3=1,IF(SUM(ED4:ED8)&gt;0,IF(AU12=DT8,1,0),0),0)</f>
        <v>0</v>
      </c>
      <c r="EG3" s="171">
        <f>IF(AU11=DF3,IF(AU12=DT8,1,0),0)</f>
        <v>0</v>
      </c>
      <c r="EH3" s="5"/>
      <c r="EI3" s="5"/>
      <c r="EJ3" s="33"/>
      <c r="EK3" s="149" t="s">
        <v>71</v>
      </c>
      <c r="EL3" s="353">
        <f>IF(料率!N34&lt;AU16,AU14+AU15+(AU16-料率!N34)+AU17,AU14+AU15+AU17)</f>
        <v>0</v>
      </c>
      <c r="EM3" s="353"/>
      <c r="EN3" s="353"/>
      <c r="EO3" s="353"/>
      <c r="EP3" s="140"/>
      <c r="EQ3" s="353">
        <f>IF(AU11=DF3,AU18,0)</f>
        <v>0</v>
      </c>
      <c r="ER3" s="353"/>
      <c r="ES3" s="353"/>
      <c r="ET3" s="353"/>
      <c r="EU3" s="140"/>
      <c r="EV3" s="351">
        <f>IF(AU11=DF3,AU16,0)</f>
        <v>0</v>
      </c>
      <c r="EW3" s="351"/>
      <c r="EX3" s="351"/>
      <c r="EY3" s="351"/>
      <c r="EZ3" s="140"/>
      <c r="FA3" s="351" t="str">
        <f>AU19</f>
        <v/>
      </c>
      <c r="FB3" s="351"/>
      <c r="FC3" s="351"/>
      <c r="FD3" s="351"/>
      <c r="FE3" s="9"/>
      <c r="FF3" s="9"/>
      <c r="FG3" s="9"/>
      <c r="FH3" s="9"/>
      <c r="FI3" s="9"/>
      <c r="FJ3" s="33"/>
      <c r="FK3" s="33"/>
      <c r="FL3" s="33"/>
      <c r="FM3" s="4"/>
      <c r="FN3" s="10"/>
      <c r="FO3" s="5"/>
      <c r="FP3" s="5"/>
      <c r="FQ3" s="5"/>
      <c r="FR3" s="5"/>
      <c r="FS3" s="5"/>
      <c r="FT3" s="5"/>
      <c r="FU3" s="5"/>
      <c r="FV3" s="5"/>
      <c r="FW3" s="5"/>
      <c r="FX3" s="5"/>
      <c r="FY3" s="5"/>
      <c r="FZ3" s="5"/>
      <c r="GA3" s="5"/>
      <c r="GB3" s="5"/>
      <c r="GC3" s="5"/>
      <c r="GD3" s="5"/>
      <c r="GE3" s="5"/>
      <c r="GF3" s="5"/>
      <c r="GG3" s="5"/>
      <c r="GH3" s="5"/>
      <c r="GI3" s="5"/>
      <c r="GJ3" s="5"/>
    </row>
    <row r="4" spans="1:192" ht="13.8" customHeight="1" thickTop="1">
      <c r="A4" s="104" t="s">
        <v>191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70"/>
      <c r="AR4" s="471"/>
      <c r="AS4" s="472"/>
      <c r="AT4" s="472"/>
      <c r="AU4" s="472"/>
      <c r="AV4" s="449"/>
      <c r="AW4" s="450"/>
      <c r="AX4" s="450"/>
      <c r="AY4" s="450"/>
      <c r="AZ4" s="450"/>
      <c r="BA4" s="451"/>
      <c r="BB4" s="454"/>
      <c r="BC4" s="455"/>
      <c r="BD4" s="170"/>
      <c r="BE4" s="200"/>
      <c r="BF4" s="210"/>
      <c r="BG4" s="211" t="s">
        <v>240</v>
      </c>
      <c r="BH4" s="636">
        <f>EOMONTH(料率!B3,-73)+2</f>
        <v>43557</v>
      </c>
      <c r="BI4" s="636"/>
      <c r="BJ4" s="636"/>
      <c r="BK4" s="212" t="s">
        <v>241</v>
      </c>
      <c r="BL4" s="210"/>
      <c r="BM4" s="201"/>
      <c r="BN4" s="170"/>
      <c r="BO4" s="440"/>
      <c r="BP4" s="441"/>
      <c r="BQ4" s="441"/>
      <c r="BR4" s="441"/>
      <c r="BS4" s="442"/>
      <c r="BT4" s="170"/>
      <c r="BU4" s="625" t="s">
        <v>245</v>
      </c>
      <c r="BV4" s="626"/>
      <c r="BW4" s="626"/>
      <c r="BX4" s="627"/>
      <c r="BY4" s="170"/>
      <c r="BZ4" s="132"/>
      <c r="CB4" s="432" t="s">
        <v>53</v>
      </c>
      <c r="CC4" s="433"/>
      <c r="CD4" s="433"/>
      <c r="CE4" s="433"/>
      <c r="CF4" s="434"/>
      <c r="CG4" s="414">
        <f>CX26+CX37+CX59+CX48</f>
        <v>23100</v>
      </c>
      <c r="CH4" s="415"/>
      <c r="CI4" s="415"/>
      <c r="CJ4" s="415"/>
      <c r="CK4" s="415"/>
      <c r="CL4" s="11"/>
      <c r="CM4" s="12"/>
      <c r="CN4" s="1"/>
      <c r="CO4" s="422" t="s">
        <v>156</v>
      </c>
      <c r="CP4" s="423"/>
      <c r="CQ4" s="423"/>
      <c r="CR4" s="423"/>
      <c r="CS4" s="423"/>
      <c r="CT4" s="423"/>
      <c r="CU4" s="424"/>
      <c r="CV4" s="428">
        <f>CG4/12</f>
        <v>1925</v>
      </c>
      <c r="CW4" s="429"/>
      <c r="CX4" s="429"/>
      <c r="CY4" s="429"/>
      <c r="CZ4" s="429"/>
      <c r="DA4" s="13"/>
      <c r="DB4" s="14"/>
      <c r="DC4" s="15"/>
      <c r="DD4" s="131"/>
      <c r="DE4" s="1"/>
      <c r="DF4" s="376" t="s">
        <v>72</v>
      </c>
      <c r="DG4" s="376"/>
      <c r="DH4" s="376"/>
      <c r="DI4" s="376"/>
      <c r="DJ4" s="376"/>
      <c r="DK4" s="376"/>
      <c r="DL4" s="34"/>
      <c r="DM4" s="368" t="s">
        <v>104</v>
      </c>
      <c r="DN4" s="368"/>
      <c r="DO4" s="368"/>
      <c r="DP4" s="368"/>
      <c r="DQ4" s="368"/>
      <c r="DR4" s="368"/>
      <c r="DS4" s="4"/>
      <c r="DT4" s="344"/>
      <c r="DU4" s="345"/>
      <c r="DV4" s="345"/>
      <c r="DW4" s="346"/>
      <c r="DX4" s="5"/>
      <c r="DY4" s="352" t="s">
        <v>251</v>
      </c>
      <c r="DZ4" s="352"/>
      <c r="EA4" s="352"/>
      <c r="EB4" s="171">
        <f>IF(BA11=DM3,1,0)</f>
        <v>0</v>
      </c>
      <c r="EC4" s="171">
        <f>IF(EB4=1,IF(BA12=DT7,1,0),0)</f>
        <v>0</v>
      </c>
      <c r="ED4" s="171">
        <f>IF(BA11=DM5,1,0)</f>
        <v>0</v>
      </c>
      <c r="EE4" s="171">
        <f>IF(BA11=DM4,1,0)</f>
        <v>0</v>
      </c>
      <c r="EF4" s="171">
        <f>IF(EB4=1,IF((ED3+ED4+ED5+ED6+ED7+ED8)&gt;0,IF(BA12=DT8,1,0),0),0)</f>
        <v>0</v>
      </c>
      <c r="EG4" s="171">
        <f>IF(BA11=DM3,IF(BA12=DT8,1,0),0)</f>
        <v>0</v>
      </c>
      <c r="EH4" s="5"/>
      <c r="EI4" s="5"/>
      <c r="EJ4" s="33"/>
      <c r="EK4" s="149" t="s">
        <v>136</v>
      </c>
      <c r="EL4" s="353">
        <f>IF(BA11=DM3,IF(料率!N34&lt;BA16,BA14+BA15+(BA16-料率!N34)+BA17,BA14+BA15+BA17),IF(BA11=DM4,IF(料率!N34&lt;BA16,BA14+BA15+(BA16-料率!N34)+BA17,BA14+BA15+BA17),0))</f>
        <v>0</v>
      </c>
      <c r="EM4" s="353"/>
      <c r="EN4" s="353"/>
      <c r="EO4" s="353"/>
      <c r="EP4" s="140"/>
      <c r="EQ4" s="353">
        <f>IF(BA11=DM3,BA18,0)</f>
        <v>0</v>
      </c>
      <c r="ER4" s="353"/>
      <c r="ES4" s="353"/>
      <c r="ET4" s="353"/>
      <c r="EU4" s="140"/>
      <c r="EV4" s="351">
        <f>IF(BA11=DM3,BA16,0)</f>
        <v>0</v>
      </c>
      <c r="EW4" s="351"/>
      <c r="EX4" s="351"/>
      <c r="EY4" s="351"/>
      <c r="EZ4" s="140"/>
      <c r="FA4" s="351" t="str">
        <f>BA19</f>
        <v/>
      </c>
      <c r="FB4" s="351"/>
      <c r="FC4" s="351"/>
      <c r="FD4" s="351"/>
      <c r="FE4" s="9"/>
      <c r="FF4" s="9"/>
      <c r="FG4" s="9"/>
      <c r="FH4" s="9"/>
      <c r="FI4" s="9"/>
      <c r="FJ4" s="33"/>
      <c r="FK4" s="33"/>
      <c r="FL4" s="33"/>
      <c r="FM4" s="4"/>
      <c r="FN4" s="10"/>
      <c r="FO4" s="5"/>
      <c r="FP4" s="5"/>
      <c r="FQ4" s="5"/>
      <c r="FR4" s="5"/>
      <c r="FS4" s="5"/>
      <c r="FT4" s="5"/>
      <c r="FU4" s="5"/>
      <c r="FV4" s="5"/>
      <c r="FW4" s="5"/>
      <c r="FX4" s="5"/>
      <c r="FY4" s="5"/>
      <c r="FZ4" s="5"/>
      <c r="GA4" s="5"/>
      <c r="GB4" s="5"/>
      <c r="GC4" s="5"/>
      <c r="GD4" s="5"/>
      <c r="GE4" s="5"/>
      <c r="GF4" s="5"/>
      <c r="GG4" s="5"/>
      <c r="GH4" s="5"/>
      <c r="GI4" s="5"/>
      <c r="GJ4" s="5"/>
    </row>
    <row r="5" spans="1:192" ht="13.8" customHeight="1" thickBot="1">
      <c r="A5" s="104"/>
      <c r="B5" s="105" t="s">
        <v>60</v>
      </c>
      <c r="C5" s="104"/>
      <c r="D5" s="106"/>
      <c r="E5" s="106"/>
      <c r="F5" s="106"/>
      <c r="G5" s="106"/>
      <c r="H5" s="104"/>
      <c r="I5" s="104"/>
      <c r="J5" s="104"/>
      <c r="K5" s="104"/>
      <c r="L5" s="104"/>
      <c r="M5" s="104"/>
      <c r="N5" s="104"/>
      <c r="O5" s="107"/>
      <c r="P5" s="107"/>
      <c r="Q5" s="107"/>
      <c r="R5" s="107"/>
      <c r="S5" s="107"/>
      <c r="T5" s="107"/>
      <c r="U5" s="107"/>
      <c r="V5" s="104"/>
      <c r="W5" s="104"/>
      <c r="X5" s="104"/>
      <c r="Y5" s="104"/>
      <c r="Z5" s="104"/>
      <c r="AA5" s="104"/>
      <c r="AB5" s="104"/>
      <c r="AC5" s="104"/>
      <c r="AD5" s="104"/>
      <c r="AE5" s="104"/>
      <c r="AF5" s="104"/>
      <c r="AG5" s="104"/>
      <c r="AH5" s="104"/>
      <c r="AI5" s="104"/>
      <c r="AJ5" s="104"/>
      <c r="AK5" s="104"/>
      <c r="AL5" s="104"/>
      <c r="AM5" s="104"/>
      <c r="AN5" s="104"/>
      <c r="AO5" s="104"/>
      <c r="AP5" s="104"/>
      <c r="AQ5" s="170"/>
      <c r="AR5" s="471"/>
      <c r="AS5" s="472"/>
      <c r="AT5" s="472"/>
      <c r="AU5" s="472"/>
      <c r="AV5" s="459" t="s">
        <v>96</v>
      </c>
      <c r="AW5" s="460"/>
      <c r="AX5" s="460"/>
      <c r="AY5" s="460"/>
      <c r="AZ5" s="460"/>
      <c r="BA5" s="461"/>
      <c r="BB5" s="465">
        <f>COUNTIF(EC3:EC8,1)</f>
        <v>0</v>
      </c>
      <c r="BC5" s="466"/>
      <c r="BD5" s="170"/>
      <c r="BE5" s="207"/>
      <c r="BF5" s="208"/>
      <c r="BG5" s="209"/>
      <c r="BH5" s="635"/>
      <c r="BI5" s="635"/>
      <c r="BJ5" s="635"/>
      <c r="BK5" s="637"/>
      <c r="BL5" s="637"/>
      <c r="BM5" s="637"/>
      <c r="BN5" s="170"/>
      <c r="BO5" s="443"/>
      <c r="BP5" s="444"/>
      <c r="BQ5" s="444"/>
      <c r="BR5" s="444"/>
      <c r="BS5" s="445"/>
      <c r="BT5" s="170"/>
      <c r="BU5" s="628"/>
      <c r="BV5" s="629"/>
      <c r="BW5" s="629"/>
      <c r="BX5" s="630"/>
      <c r="BY5" s="170"/>
      <c r="BZ5" s="132"/>
      <c r="CB5" s="383" t="s">
        <v>157</v>
      </c>
      <c r="CC5" s="384"/>
      <c r="CD5" s="384"/>
      <c r="CE5" s="384"/>
      <c r="CF5" s="385"/>
      <c r="CG5" s="416"/>
      <c r="CH5" s="417"/>
      <c r="CI5" s="417"/>
      <c r="CJ5" s="417"/>
      <c r="CK5" s="417"/>
      <c r="CL5" s="16"/>
      <c r="CM5" s="17" t="s">
        <v>103</v>
      </c>
      <c r="CN5" s="1"/>
      <c r="CO5" s="425"/>
      <c r="CP5" s="426"/>
      <c r="CQ5" s="426"/>
      <c r="CR5" s="426"/>
      <c r="CS5" s="426"/>
      <c r="CT5" s="426"/>
      <c r="CU5" s="427"/>
      <c r="CV5" s="430"/>
      <c r="CW5" s="431"/>
      <c r="CX5" s="431"/>
      <c r="CY5" s="431"/>
      <c r="CZ5" s="431"/>
      <c r="DA5" s="18"/>
      <c r="DB5" s="19" t="s">
        <v>111</v>
      </c>
      <c r="DC5" s="20"/>
      <c r="DD5" s="132"/>
      <c r="DE5" s="21"/>
      <c r="DF5" s="172" t="s">
        <v>104</v>
      </c>
      <c r="DG5" s="173"/>
      <c r="DH5" s="173"/>
      <c r="DI5" s="173"/>
      <c r="DJ5" s="173"/>
      <c r="DK5" s="173"/>
      <c r="DL5" s="5"/>
      <c r="DM5" s="368" t="s">
        <v>105</v>
      </c>
      <c r="DN5" s="368"/>
      <c r="DO5" s="368"/>
      <c r="DP5" s="368"/>
      <c r="DQ5" s="368"/>
      <c r="DR5" s="368"/>
      <c r="DS5" s="4"/>
      <c r="DT5" s="344" t="s">
        <v>244</v>
      </c>
      <c r="DU5" s="345"/>
      <c r="DV5" s="345"/>
      <c r="DW5" s="346"/>
      <c r="DX5" s="5"/>
      <c r="DY5" s="352" t="s">
        <v>63</v>
      </c>
      <c r="DZ5" s="352"/>
      <c r="EA5" s="352"/>
      <c r="EB5" s="171">
        <f>IF(BF11=DM3,1,0)</f>
        <v>0</v>
      </c>
      <c r="EC5" s="171">
        <f>IF(EB5=1,IF(BF12=DT7,1,0),0)</f>
        <v>0</v>
      </c>
      <c r="ED5" s="171">
        <f>IF(BF11=DM5,1,0)</f>
        <v>0</v>
      </c>
      <c r="EE5" s="171">
        <f>IF(BF11=DM4,1,0)</f>
        <v>0</v>
      </c>
      <c r="EF5" s="171">
        <f>IF(EB5=1,IF((ED3+ED4+ED5+ED6+ED7+ED8)&gt;0,IF(BF12=DT8,1,0),0),0)</f>
        <v>0</v>
      </c>
      <c r="EG5" s="171">
        <f>IF(BF11=DM3,IF(BF12=DT8,1,0),0)</f>
        <v>0</v>
      </c>
      <c r="EH5" s="5"/>
      <c r="EI5" s="5"/>
      <c r="EJ5" s="33"/>
      <c r="EK5" s="149" t="s">
        <v>137</v>
      </c>
      <c r="EL5" s="353">
        <f>IF(BF11=DM3,IF(料率!N34&lt;BF16,BF14+BF15+(BF16-料率!N34)+BF17,BF14+BF15+BF17),IF(BF11=DM4,IF(料率!N34&lt;BF16,BF14+BF15+(BF16-料率!N34)+BF17,BF14+BF15+BF17),0))</f>
        <v>0</v>
      </c>
      <c r="EM5" s="353"/>
      <c r="EN5" s="353"/>
      <c r="EO5" s="353"/>
      <c r="EP5" s="140"/>
      <c r="EQ5" s="353">
        <f>IF(BF11=DM3,BF18,0)</f>
        <v>0</v>
      </c>
      <c r="ER5" s="353"/>
      <c r="ES5" s="353"/>
      <c r="ET5" s="353"/>
      <c r="EU5" s="140"/>
      <c r="EV5" s="351">
        <f>IF(BF11=DM3,BF16,0)</f>
        <v>0</v>
      </c>
      <c r="EW5" s="351"/>
      <c r="EX5" s="351"/>
      <c r="EY5" s="351"/>
      <c r="EZ5" s="140"/>
      <c r="FA5" s="351" t="str">
        <f>BF19</f>
        <v/>
      </c>
      <c r="FB5" s="351"/>
      <c r="FC5" s="351"/>
      <c r="FD5" s="351"/>
      <c r="FE5" s="33"/>
      <c r="FF5" s="33"/>
      <c r="FG5" s="33"/>
      <c r="FH5" s="33"/>
      <c r="FI5" s="33"/>
      <c r="FJ5" s="33"/>
      <c r="FK5" s="33"/>
      <c r="FL5" s="33"/>
      <c r="FM5" s="4"/>
      <c r="FN5" s="10"/>
      <c r="FO5" s="5"/>
      <c r="FP5" s="5"/>
      <c r="FQ5" s="5"/>
      <c r="FR5" s="5"/>
      <c r="FS5" s="5"/>
      <c r="FT5" s="5"/>
      <c r="FU5" s="5"/>
      <c r="FV5" s="5"/>
      <c r="FW5" s="5"/>
      <c r="FX5" s="5"/>
      <c r="FY5" s="5"/>
      <c r="FZ5" s="5"/>
      <c r="GA5" s="5"/>
      <c r="GB5" s="5"/>
      <c r="GC5" s="5"/>
      <c r="GD5" s="5"/>
      <c r="GE5" s="5"/>
      <c r="GF5" s="5"/>
      <c r="GG5" s="5"/>
      <c r="GH5" s="5"/>
      <c r="GI5" s="5"/>
      <c r="GJ5" s="5"/>
    </row>
    <row r="6" spans="1:192" ht="13.8" customHeight="1" thickBot="1">
      <c r="A6" s="104"/>
      <c r="B6" s="659" t="s">
        <v>12</v>
      </c>
      <c r="C6" s="660"/>
      <c r="D6" s="660"/>
      <c r="E6" s="660"/>
      <c r="F6" s="660"/>
      <c r="G6" s="660"/>
      <c r="H6" s="660"/>
      <c r="I6" s="660"/>
      <c r="J6" s="660"/>
      <c r="K6" s="661"/>
      <c r="L6" s="642" t="s">
        <v>13</v>
      </c>
      <c r="M6" s="643"/>
      <c r="N6" s="643"/>
      <c r="O6" s="643"/>
      <c r="P6" s="643"/>
      <c r="Q6" s="643"/>
      <c r="R6" s="643"/>
      <c r="S6" s="643"/>
      <c r="T6" s="643"/>
      <c r="U6" s="644"/>
      <c r="V6" s="642" t="s">
        <v>59</v>
      </c>
      <c r="W6" s="643"/>
      <c r="X6" s="643"/>
      <c r="Y6" s="643"/>
      <c r="Z6" s="643"/>
      <c r="AA6" s="643"/>
      <c r="AB6" s="643"/>
      <c r="AC6" s="643"/>
      <c r="AD6" s="643"/>
      <c r="AE6" s="644"/>
      <c r="AF6" s="642" t="s">
        <v>190</v>
      </c>
      <c r="AG6" s="643"/>
      <c r="AH6" s="643"/>
      <c r="AI6" s="643"/>
      <c r="AJ6" s="643"/>
      <c r="AK6" s="643"/>
      <c r="AL6" s="643"/>
      <c r="AM6" s="643"/>
      <c r="AN6" s="643"/>
      <c r="AO6" s="644"/>
      <c r="AP6" s="104"/>
      <c r="AQ6" s="170"/>
      <c r="AR6" s="473"/>
      <c r="AS6" s="474"/>
      <c r="AT6" s="474"/>
      <c r="AU6" s="474"/>
      <c r="AV6" s="462"/>
      <c r="AW6" s="463"/>
      <c r="AX6" s="463"/>
      <c r="AY6" s="463"/>
      <c r="AZ6" s="463"/>
      <c r="BA6" s="464"/>
      <c r="BB6" s="467"/>
      <c r="BC6" s="468"/>
      <c r="BD6" s="170"/>
      <c r="BE6" s="202"/>
      <c r="BF6" s="170"/>
      <c r="BI6" s="170"/>
      <c r="BJ6" s="170"/>
      <c r="BK6" s="170"/>
      <c r="BL6" s="170"/>
      <c r="BM6" s="170"/>
      <c r="BN6" s="170"/>
      <c r="BO6" s="204" t="str">
        <f>IF(EL9&lt;=DP22,"７割軽減",IF(EL9&lt;=DP23,"５割軽減",IF(EL9&lt;=DP24,"２割軽減","")))</f>
        <v>７割軽減</v>
      </c>
      <c r="BP6" s="205" t="s">
        <v>243</v>
      </c>
      <c r="BR6" s="123"/>
      <c r="BS6" s="123"/>
      <c r="BT6" s="170"/>
      <c r="BU6" s="170"/>
      <c r="BV6" s="170"/>
      <c r="BW6" s="170"/>
      <c r="BX6" s="170"/>
      <c r="BY6" s="170"/>
      <c r="BZ6" s="132"/>
      <c r="CB6" s="501" t="str">
        <f>IF(CG9&lt;&gt;4,"※"&amp;CG9&amp;"月～3月分","")</f>
        <v/>
      </c>
      <c r="CC6" s="501"/>
      <c r="CD6" s="501"/>
      <c r="CE6" s="501"/>
      <c r="CF6" s="501"/>
      <c r="CG6" s="415" t="str">
        <f>IF(AX23&lt;&gt;4,CZ12,"")</f>
        <v/>
      </c>
      <c r="CH6" s="415"/>
      <c r="CI6" s="415"/>
      <c r="CJ6" s="415"/>
      <c r="CK6" s="415"/>
      <c r="CL6" s="1"/>
      <c r="CM6" s="23"/>
      <c r="CN6" s="1"/>
      <c r="CO6" s="24"/>
      <c r="CX6" s="25"/>
      <c r="CY6" s="25"/>
      <c r="CZ6" s="25"/>
      <c r="DA6" s="1"/>
      <c r="DB6" s="23"/>
      <c r="DC6" s="20"/>
      <c r="DD6" s="3" t="s">
        <v>216</v>
      </c>
      <c r="DE6" s="21"/>
      <c r="DF6" s="174" t="s">
        <v>105</v>
      </c>
      <c r="DG6" s="175"/>
      <c r="DH6" s="175"/>
      <c r="DI6" s="175"/>
      <c r="DJ6" s="175"/>
      <c r="DK6" s="175"/>
      <c r="DL6" s="52"/>
      <c r="DM6" s="368" t="s">
        <v>85</v>
      </c>
      <c r="DN6" s="368"/>
      <c r="DO6" s="368"/>
      <c r="DP6" s="368"/>
      <c r="DQ6" s="368"/>
      <c r="DR6" s="368"/>
      <c r="DS6" s="22"/>
      <c r="DT6" s="344" t="s">
        <v>89</v>
      </c>
      <c r="DU6" s="345"/>
      <c r="DV6" s="345"/>
      <c r="DW6" s="346"/>
      <c r="DX6" s="5"/>
      <c r="DY6" s="352" t="s">
        <v>68</v>
      </c>
      <c r="DZ6" s="352"/>
      <c r="EA6" s="352"/>
      <c r="EB6" s="171">
        <f>IF(BK11=DM3,1,0)</f>
        <v>0</v>
      </c>
      <c r="EC6" s="171">
        <f>IF(EB6=1,IF(BK12=DT7,1,0),0)</f>
        <v>0</v>
      </c>
      <c r="ED6" s="171">
        <f>IF(BK11=DM5,1,0)</f>
        <v>0</v>
      </c>
      <c r="EE6" s="171">
        <f>IF(BK11=DM4,1,0)</f>
        <v>0</v>
      </c>
      <c r="EF6" s="171">
        <f>IF(EB6=1,IF((ED3+ED4+ED5+ED6+ED7+ED8)&gt;0,IF(BK12=DT8,1,0),0),0)</f>
        <v>0</v>
      </c>
      <c r="EG6" s="171">
        <f>IF(BK11=DM3,IF(BK12=DT8,1,0),0)</f>
        <v>0</v>
      </c>
      <c r="EH6" s="5"/>
      <c r="EI6" s="5"/>
      <c r="EJ6" s="33"/>
      <c r="EK6" s="149" t="s">
        <v>138</v>
      </c>
      <c r="EL6" s="353">
        <f>IF(BK11=DM3,IF(料率!N34&lt;BK16,BK14+BK15+(BK16-料率!N34)+BK17,BK14+BK15+BK17),IF(BK11=DM4,IF(料率!N34&lt;BK16,BK14+BK15+(BK16-料率!N34)+BK17,BK14+BK15+BK17),0))</f>
        <v>0</v>
      </c>
      <c r="EM6" s="353"/>
      <c r="EN6" s="353"/>
      <c r="EO6" s="353"/>
      <c r="EP6" s="140"/>
      <c r="EQ6" s="353">
        <f>IF(BK11=DM3,BK18,0)</f>
        <v>0</v>
      </c>
      <c r="ER6" s="353"/>
      <c r="ES6" s="353"/>
      <c r="ET6" s="353"/>
      <c r="EU6" s="140"/>
      <c r="EV6" s="351">
        <f>IF(BK11=DM3,BK16,0)</f>
        <v>0</v>
      </c>
      <c r="EW6" s="351"/>
      <c r="EX6" s="351"/>
      <c r="EY6" s="351"/>
      <c r="EZ6" s="140"/>
      <c r="FA6" s="351" t="str">
        <f>BK19</f>
        <v/>
      </c>
      <c r="FB6" s="351"/>
      <c r="FC6" s="351"/>
      <c r="FD6" s="351"/>
      <c r="FE6" s="34"/>
      <c r="FF6" s="34"/>
      <c r="FG6" s="34"/>
      <c r="FH6" s="34"/>
      <c r="FI6" s="33"/>
      <c r="FJ6" s="34"/>
      <c r="FK6" s="34"/>
      <c r="FL6" s="34"/>
      <c r="FM6" s="5"/>
      <c r="FN6" s="6"/>
      <c r="FO6" s="5"/>
      <c r="FP6" s="5"/>
      <c r="FQ6" s="5"/>
      <c r="FR6" s="5"/>
      <c r="FS6" s="5"/>
      <c r="FT6" s="5"/>
      <c r="FU6" s="5"/>
      <c r="FV6" s="5"/>
      <c r="FW6" s="5"/>
      <c r="FX6" s="5"/>
      <c r="FY6" s="5"/>
      <c r="FZ6" s="5"/>
      <c r="GA6" s="5"/>
      <c r="GB6" s="5"/>
      <c r="GC6" s="5"/>
      <c r="GD6" s="5"/>
      <c r="GE6" s="5"/>
      <c r="GF6" s="5"/>
      <c r="GG6" s="5"/>
      <c r="GH6" s="5"/>
      <c r="GI6" s="5"/>
      <c r="GJ6" s="5"/>
    </row>
    <row r="7" spans="1:192" ht="13.8" customHeight="1">
      <c r="A7" s="104"/>
      <c r="B7" s="645" t="s">
        <v>21</v>
      </c>
      <c r="C7" s="646"/>
      <c r="D7" s="646"/>
      <c r="E7" s="646"/>
      <c r="F7" s="646" t="s">
        <v>15</v>
      </c>
      <c r="G7" s="646"/>
      <c r="H7" s="646"/>
      <c r="I7" s="646" t="s">
        <v>16</v>
      </c>
      <c r="J7" s="646"/>
      <c r="K7" s="662"/>
      <c r="L7" s="645" t="s">
        <v>21</v>
      </c>
      <c r="M7" s="646"/>
      <c r="N7" s="646"/>
      <c r="O7" s="646"/>
      <c r="P7" s="646" t="s">
        <v>15</v>
      </c>
      <c r="Q7" s="646"/>
      <c r="R7" s="646"/>
      <c r="S7" s="646" t="s">
        <v>16</v>
      </c>
      <c r="T7" s="646"/>
      <c r="U7" s="662"/>
      <c r="V7" s="645" t="s">
        <v>21</v>
      </c>
      <c r="W7" s="646"/>
      <c r="X7" s="646"/>
      <c r="Y7" s="646"/>
      <c r="Z7" s="646" t="s">
        <v>15</v>
      </c>
      <c r="AA7" s="646"/>
      <c r="AB7" s="646"/>
      <c r="AC7" s="646" t="s">
        <v>16</v>
      </c>
      <c r="AD7" s="646"/>
      <c r="AE7" s="662"/>
      <c r="AF7" s="645" t="s">
        <v>21</v>
      </c>
      <c r="AG7" s="646"/>
      <c r="AH7" s="646"/>
      <c r="AI7" s="646"/>
      <c r="AJ7" s="646" t="s">
        <v>15</v>
      </c>
      <c r="AK7" s="646"/>
      <c r="AL7" s="646"/>
      <c r="AM7" s="646" t="s">
        <v>16</v>
      </c>
      <c r="AN7" s="646"/>
      <c r="AO7" s="662"/>
      <c r="AP7" s="104"/>
      <c r="AR7" s="176" t="s">
        <v>194</v>
      </c>
      <c r="AS7" s="170"/>
      <c r="AT7" s="170"/>
      <c r="AU7" s="170"/>
      <c r="AV7" s="170"/>
      <c r="AW7" s="170"/>
      <c r="AX7" s="170"/>
      <c r="AY7" s="170"/>
      <c r="AZ7" s="170"/>
      <c r="BA7" s="170"/>
      <c r="BB7" s="170"/>
      <c r="BC7" s="170"/>
      <c r="BD7" s="170"/>
      <c r="BE7" s="170"/>
      <c r="BF7" s="177" t="s">
        <v>197</v>
      </c>
      <c r="BI7" s="170"/>
      <c r="BL7" s="170"/>
      <c r="BM7" s="170"/>
      <c r="BN7" s="170"/>
      <c r="BP7" s="170"/>
      <c r="BQ7" s="170"/>
      <c r="BR7" s="170"/>
      <c r="BS7" s="170"/>
      <c r="BT7" s="170"/>
      <c r="BU7" s="170"/>
      <c r="BW7" s="170"/>
      <c r="BX7" s="170"/>
      <c r="BY7" s="170"/>
      <c r="BZ7" s="132"/>
      <c r="CB7" s="405" t="str">
        <f>IF(BP24&gt;0,"※産前産後期間は、年間保険料から右の額が軽減されます。","")</f>
        <v/>
      </c>
      <c r="CC7" s="405"/>
      <c r="CD7" s="405"/>
      <c r="CE7" s="405"/>
      <c r="CF7" s="405"/>
      <c r="CG7" s="405"/>
      <c r="CH7" s="405"/>
      <c r="CI7" s="405"/>
      <c r="CJ7" s="405"/>
      <c r="CK7" s="405"/>
      <c r="CL7" s="405"/>
      <c r="CM7" s="405"/>
      <c r="CN7" s="405"/>
      <c r="CO7" s="405"/>
      <c r="CP7" s="525" t="str">
        <f>IF(BP24&gt;0,"軽減額（年間）：","")</f>
        <v/>
      </c>
      <c r="CQ7" s="525"/>
      <c r="CR7" s="525"/>
      <c r="CS7" s="525"/>
      <c r="CT7" s="526" t="str">
        <f>IF(BP24&gt;0,FC34+FC45+FC67+FC56,"")</f>
        <v/>
      </c>
      <c r="CU7" s="526"/>
      <c r="CV7" s="526"/>
      <c r="CW7" s="526"/>
      <c r="DB7" s="15"/>
      <c r="DD7" s="3" t="s">
        <v>215</v>
      </c>
      <c r="DF7" s="178" t="s">
        <v>199</v>
      </c>
      <c r="DG7" s="178"/>
      <c r="DH7" s="178"/>
      <c r="DI7" s="178"/>
      <c r="DJ7" s="178"/>
      <c r="DK7" s="178"/>
      <c r="DL7" s="5"/>
      <c r="DM7" s="5"/>
      <c r="DN7" s="5"/>
      <c r="DO7" s="5"/>
      <c r="DP7" s="5"/>
      <c r="DQ7" s="5"/>
      <c r="DR7" s="5"/>
      <c r="DS7" s="5"/>
      <c r="DT7" s="344" t="s">
        <v>90</v>
      </c>
      <c r="DU7" s="345"/>
      <c r="DV7" s="345"/>
      <c r="DW7" s="346"/>
      <c r="DX7" s="5"/>
      <c r="DY7" s="352" t="s">
        <v>69</v>
      </c>
      <c r="DZ7" s="352"/>
      <c r="EA7" s="352"/>
      <c r="EB7" s="171">
        <f>IF(BP11=DM3,1,0)</f>
        <v>0</v>
      </c>
      <c r="EC7" s="171">
        <f>IF(EB7=1,IF(BP12=DT7,1,0),0)</f>
        <v>0</v>
      </c>
      <c r="ED7" s="171">
        <f>IF(BP11=DM5,1,0)</f>
        <v>0</v>
      </c>
      <c r="EE7" s="171">
        <f>IF(BP11=DM4,1,0)</f>
        <v>0</v>
      </c>
      <c r="EF7" s="171">
        <f>IF(EB7=1,IF((ED3+ED4+ED5+ED6+ED7+ED8)&gt;0,IF(BP12=DT8,1,0),0),0)</f>
        <v>0</v>
      </c>
      <c r="EG7" s="171">
        <f>IF(BP11=DM3,IF(BP12=DT8,1,0),0)</f>
        <v>0</v>
      </c>
      <c r="EH7" s="5"/>
      <c r="EI7" s="5"/>
      <c r="EJ7" s="33"/>
      <c r="EK7" s="149" t="s">
        <v>139</v>
      </c>
      <c r="EL7" s="357">
        <f>IF(BP11=DM3,IF(料率!N34&lt;BP16,BP14+BP15+(BP16-料率!N34)+BP17,BP14+BP15+BP17),IF(BP11=DM4,IF(料率!N34&lt;BP16,BP14+BP15+(BP16-料率!N34)+BP17,BP14+BP15+BP17),0))</f>
        <v>0</v>
      </c>
      <c r="EM7" s="357"/>
      <c r="EN7" s="357"/>
      <c r="EO7" s="357"/>
      <c r="EP7" s="140"/>
      <c r="EQ7" s="357">
        <f>IF(BP11=DM3,BP18,0)</f>
        <v>0</v>
      </c>
      <c r="ER7" s="357"/>
      <c r="ES7" s="357"/>
      <c r="ET7" s="357"/>
      <c r="EU7" s="140"/>
      <c r="EV7" s="351">
        <f>IF(BP11=DF3,DM3,0)</f>
        <v>0</v>
      </c>
      <c r="EW7" s="351"/>
      <c r="EX7" s="351"/>
      <c r="EY7" s="351"/>
      <c r="EZ7" s="140"/>
      <c r="FA7" s="351" t="str">
        <f>BP19</f>
        <v/>
      </c>
      <c r="FB7" s="351"/>
      <c r="FC7" s="351"/>
      <c r="FD7" s="351"/>
      <c r="FE7" s="34"/>
      <c r="FF7" s="34"/>
      <c r="FG7" s="34"/>
      <c r="FH7" s="34"/>
      <c r="FI7" s="33"/>
      <c r="FJ7" s="34"/>
      <c r="FK7" s="34"/>
      <c r="FL7" s="34"/>
      <c r="FM7" s="5"/>
      <c r="FN7" s="6"/>
      <c r="FO7" s="5"/>
      <c r="FP7" s="5"/>
      <c r="FQ7" s="5"/>
      <c r="FR7" s="5"/>
      <c r="FS7" s="5"/>
      <c r="FT7" s="5"/>
      <c r="FU7" s="5"/>
      <c r="FV7" s="5"/>
      <c r="FW7" s="5"/>
      <c r="FX7" s="5"/>
      <c r="FY7" s="5"/>
      <c r="FZ7" s="5"/>
      <c r="GA7" s="5"/>
      <c r="GB7" s="5"/>
      <c r="GC7" s="5"/>
      <c r="GD7" s="5"/>
      <c r="GE7" s="5"/>
      <c r="GF7" s="5"/>
      <c r="GG7" s="5"/>
      <c r="GH7" s="5"/>
      <c r="GI7" s="5"/>
      <c r="GJ7" s="5"/>
    </row>
    <row r="8" spans="1:192" ht="13.8" customHeight="1" thickBot="1">
      <c r="A8" s="104"/>
      <c r="B8" s="667">
        <v>8.1</v>
      </c>
      <c r="C8" s="668"/>
      <c r="D8" s="663" t="s">
        <v>0</v>
      </c>
      <c r="E8" s="664"/>
      <c r="F8" s="665">
        <v>35100</v>
      </c>
      <c r="G8" s="665"/>
      <c r="H8" s="665"/>
      <c r="I8" s="665">
        <v>22600</v>
      </c>
      <c r="J8" s="665"/>
      <c r="K8" s="666"/>
      <c r="L8" s="667">
        <v>2.8</v>
      </c>
      <c r="M8" s="668"/>
      <c r="N8" s="663" t="s">
        <v>0</v>
      </c>
      <c r="O8" s="664"/>
      <c r="P8" s="665">
        <v>12100</v>
      </c>
      <c r="Q8" s="665"/>
      <c r="R8" s="665"/>
      <c r="S8" s="665">
        <v>5800</v>
      </c>
      <c r="T8" s="665"/>
      <c r="U8" s="666"/>
      <c r="V8" s="667">
        <v>2.7</v>
      </c>
      <c r="W8" s="668"/>
      <c r="X8" s="663" t="s">
        <v>0</v>
      </c>
      <c r="Y8" s="664"/>
      <c r="Z8" s="665">
        <v>11800</v>
      </c>
      <c r="AA8" s="665"/>
      <c r="AB8" s="665"/>
      <c r="AC8" s="665">
        <v>7600</v>
      </c>
      <c r="AD8" s="665"/>
      <c r="AE8" s="666"/>
      <c r="AF8" s="672">
        <v>0</v>
      </c>
      <c r="AG8" s="673"/>
      <c r="AH8" s="656" t="s">
        <v>0</v>
      </c>
      <c r="AI8" s="657"/>
      <c r="AJ8" s="674">
        <v>0</v>
      </c>
      <c r="AK8" s="674"/>
      <c r="AL8" s="674"/>
      <c r="AM8" s="674">
        <v>0</v>
      </c>
      <c r="AN8" s="674"/>
      <c r="AO8" s="675"/>
      <c r="AP8" s="104"/>
      <c r="AR8" s="176" t="s">
        <v>195</v>
      </c>
      <c r="AS8" s="170"/>
      <c r="AT8" s="170"/>
      <c r="AU8" s="170"/>
      <c r="AV8" s="170"/>
      <c r="AW8" s="170"/>
      <c r="AX8" s="170"/>
      <c r="AY8" s="170"/>
      <c r="AZ8" s="170"/>
      <c r="BA8" s="170"/>
      <c r="BB8" s="170"/>
      <c r="BC8" s="170"/>
      <c r="BD8" s="170"/>
      <c r="BE8" s="170"/>
      <c r="BF8" s="177" t="s">
        <v>196</v>
      </c>
      <c r="BJ8" s="170"/>
      <c r="BK8" s="170"/>
      <c r="BL8" s="170"/>
      <c r="BN8" s="170"/>
      <c r="BO8" s="170"/>
      <c r="BP8" s="170"/>
      <c r="BQ8" s="170"/>
      <c r="BR8" s="170"/>
      <c r="BS8" s="170"/>
      <c r="BT8" s="170"/>
      <c r="BU8" s="170"/>
      <c r="BV8" s="170"/>
      <c r="BW8" s="170"/>
      <c r="BX8" s="170"/>
      <c r="BY8" s="170"/>
      <c r="BZ8" s="132"/>
      <c r="CB8" s="26"/>
      <c r="CC8" s="26"/>
      <c r="CD8" s="26"/>
      <c r="CE8" s="26"/>
      <c r="CF8" s="26"/>
      <c r="CG8" s="27"/>
      <c r="CH8" s="27"/>
      <c r="CI8" s="27"/>
      <c r="CJ8" s="27"/>
      <c r="CK8" s="20"/>
      <c r="CL8" s="20"/>
      <c r="CM8" s="1"/>
      <c r="CN8" s="20"/>
      <c r="CO8" s="20"/>
      <c r="CP8" s="20"/>
      <c r="CQ8" s="28"/>
      <c r="CR8" s="28"/>
      <c r="CS8" s="28"/>
      <c r="CT8" s="28"/>
      <c r="CU8" s="28"/>
      <c r="CV8" s="29"/>
      <c r="CW8" s="29"/>
      <c r="CX8" s="29"/>
      <c r="CY8" s="29"/>
      <c r="CZ8" s="29"/>
      <c r="DB8" s="15"/>
      <c r="DD8" s="132"/>
      <c r="DE8" s="21"/>
      <c r="DF8" s="37" t="s">
        <v>200</v>
      </c>
      <c r="DG8" s="37"/>
      <c r="DH8" s="37"/>
      <c r="DI8" s="37"/>
      <c r="DJ8" s="37"/>
      <c r="DK8" s="37"/>
      <c r="DL8" s="5"/>
      <c r="DM8" s="5"/>
      <c r="DN8" s="5"/>
      <c r="DO8" s="5"/>
      <c r="DP8" s="5"/>
      <c r="DQ8" s="5"/>
      <c r="DR8" s="5"/>
      <c r="DS8" s="5"/>
      <c r="DT8" s="344" t="s">
        <v>91</v>
      </c>
      <c r="DU8" s="345"/>
      <c r="DV8" s="345"/>
      <c r="DW8" s="346"/>
      <c r="DX8" s="5"/>
      <c r="DY8" s="352" t="s">
        <v>70</v>
      </c>
      <c r="DZ8" s="352"/>
      <c r="EA8" s="352"/>
      <c r="EB8" s="171">
        <f>IF(BU11=DM3,1,0)</f>
        <v>0</v>
      </c>
      <c r="EC8" s="171">
        <f>IF(EB8=1,IF(BU12=DT7,1,0),0)</f>
        <v>0</v>
      </c>
      <c r="ED8" s="171">
        <f>IF(BU11=DM5,1,0)</f>
        <v>0</v>
      </c>
      <c r="EE8" s="171">
        <f>IF(BU11=DM4,1,0)</f>
        <v>0</v>
      </c>
      <c r="EF8" s="171">
        <f>IF(EB8=1,IF((ED3+ED4+ED5+ED6+ED7+ED8)&gt;0,IF(BU12=DT8,1,0),0),0)</f>
        <v>0</v>
      </c>
      <c r="EG8" s="171">
        <f>IF(BU11=DM3,IF(BU12=DT8,1,0),0)</f>
        <v>0</v>
      </c>
      <c r="EH8" s="5"/>
      <c r="EI8" s="5"/>
      <c r="EJ8" s="33"/>
      <c r="EK8" s="149" t="s">
        <v>140</v>
      </c>
      <c r="EL8" s="357">
        <f>IF(BU11=DM3,IF(料率!N34&lt;BU16,BU14+BU15+(BU16-料率!N34)+BU17,BU14+BU15+BU17),IF(BU11=DM4,IF(料率!N34&lt;BU16,BU14+BU15+(BU16-料率!N34)+BU17,BU14+BU15+BU17),0))</f>
        <v>0</v>
      </c>
      <c r="EM8" s="357"/>
      <c r="EN8" s="357"/>
      <c r="EO8" s="357"/>
      <c r="EP8" s="140"/>
      <c r="EQ8" s="548">
        <f>IF(BU11=DM3,BU18,0)</f>
        <v>0</v>
      </c>
      <c r="ER8" s="549"/>
      <c r="ES8" s="549"/>
      <c r="ET8" s="550"/>
      <c r="EU8" s="140"/>
      <c r="EV8" s="351">
        <f>IF(BU12=DM3,BU16,0)</f>
        <v>0</v>
      </c>
      <c r="EW8" s="351"/>
      <c r="EX8" s="351"/>
      <c r="EY8" s="351"/>
      <c r="EZ8" s="140"/>
      <c r="FA8" s="351" t="str">
        <f>BU19</f>
        <v/>
      </c>
      <c r="FB8" s="351"/>
      <c r="FC8" s="351"/>
      <c r="FD8" s="351"/>
      <c r="FE8" s="34"/>
      <c r="FF8" s="34"/>
      <c r="FG8" s="34"/>
      <c r="FH8" s="34"/>
      <c r="FI8" s="33"/>
      <c r="FJ8" s="34"/>
      <c r="FK8" s="34"/>
      <c r="FL8" s="34"/>
      <c r="FM8" s="5"/>
      <c r="FN8" s="6"/>
      <c r="FO8" s="5"/>
      <c r="FP8" s="5"/>
      <c r="FQ8" s="5"/>
      <c r="FR8" s="5"/>
      <c r="FS8" s="5"/>
      <c r="FT8" s="5"/>
      <c r="FU8" s="5"/>
      <c r="FV8" s="5"/>
      <c r="FW8" s="5"/>
      <c r="FX8" s="5"/>
      <c r="FY8" s="5"/>
      <c r="FZ8" s="5"/>
      <c r="GA8" s="5"/>
      <c r="GB8" s="5"/>
      <c r="GC8" s="5"/>
      <c r="GD8" s="5"/>
      <c r="GE8" s="5"/>
      <c r="GF8" s="5"/>
      <c r="GG8" s="5"/>
      <c r="GH8" s="5"/>
      <c r="GI8" s="5"/>
      <c r="GJ8" s="5"/>
    </row>
    <row r="9" spans="1:192" ht="13.8" customHeight="1">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70"/>
      <c r="AR9" s="179" t="s">
        <v>83</v>
      </c>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32"/>
      <c r="CC9" s="15"/>
      <c r="CD9" s="15"/>
      <c r="CE9" s="15"/>
      <c r="CF9" s="30" t="s">
        <v>29</v>
      </c>
      <c r="CG9" s="386">
        <f>AX23</f>
        <v>4</v>
      </c>
      <c r="CH9" s="387"/>
      <c r="CI9" s="21" t="s">
        <v>175</v>
      </c>
      <c r="CJ9" s="15"/>
      <c r="CK9" s="15"/>
      <c r="CL9" s="388">
        <f>BC24</f>
        <v>12</v>
      </c>
      <c r="CM9" s="389"/>
      <c r="CN9" s="389"/>
      <c r="CO9" s="390"/>
      <c r="CQ9" s="15"/>
      <c r="CR9" s="15"/>
      <c r="CS9" s="30" t="s">
        <v>55</v>
      </c>
      <c r="CT9" s="391">
        <f>AX25</f>
        <v>1</v>
      </c>
      <c r="CU9" s="392"/>
      <c r="CV9" s="31" t="s">
        <v>176</v>
      </c>
      <c r="CW9" s="32"/>
      <c r="CX9" s="15"/>
      <c r="CY9" s="407">
        <f>BC26</f>
        <v>10</v>
      </c>
      <c r="CZ9" s="408"/>
      <c r="DA9" s="408"/>
      <c r="DB9" s="409"/>
      <c r="DD9" s="132"/>
      <c r="DE9" s="21"/>
      <c r="DF9" s="37"/>
      <c r="DG9" s="37"/>
      <c r="DH9" s="37"/>
      <c r="DI9" s="37"/>
      <c r="DJ9" s="37"/>
      <c r="DK9" s="37"/>
      <c r="DL9" s="22"/>
      <c r="DM9" s="22"/>
      <c r="DN9" s="22"/>
      <c r="DO9" s="22"/>
      <c r="DP9" s="22"/>
      <c r="DQ9" s="22"/>
      <c r="DR9" s="22"/>
      <c r="DS9" s="22"/>
      <c r="DT9" s="344" t="s">
        <v>131</v>
      </c>
      <c r="DU9" s="345"/>
      <c r="DV9" s="345"/>
      <c r="DW9" s="346"/>
      <c r="DX9" s="22"/>
      <c r="DY9" s="22"/>
      <c r="DZ9" s="22"/>
      <c r="EA9" s="22"/>
      <c r="EB9" s="22"/>
      <c r="EC9" s="4"/>
      <c r="ED9" s="4"/>
      <c r="EE9" s="4"/>
      <c r="EF9" s="4"/>
      <c r="EG9" s="4"/>
      <c r="EH9" s="4"/>
      <c r="EI9" s="5"/>
      <c r="EJ9" s="34"/>
      <c r="EK9" s="34" t="s">
        <v>23</v>
      </c>
      <c r="EL9" s="551">
        <f>SUM(EL3:EO8)</f>
        <v>0</v>
      </c>
      <c r="EM9" s="552"/>
      <c r="EN9" s="552"/>
      <c r="EO9" s="553"/>
      <c r="EP9" s="140"/>
      <c r="EQ9" s="554">
        <f>SUM(EQ3:ET8)</f>
        <v>0</v>
      </c>
      <c r="ER9" s="555"/>
      <c r="ES9" s="555"/>
      <c r="ET9" s="556"/>
      <c r="EU9" s="140"/>
      <c r="EV9" s="351">
        <f>SUM(EV3:EY8)</f>
        <v>0</v>
      </c>
      <c r="EW9" s="351"/>
      <c r="EX9" s="351"/>
      <c r="EY9" s="351"/>
      <c r="EZ9" s="140"/>
      <c r="FA9" s="360">
        <f>IF((COUNTIF(FA3:FD8,"あり")-1)&gt;0,(COUNTIF(FA3:FD8,"あり")-1)*100000,0)</f>
        <v>0</v>
      </c>
      <c r="FB9" s="361"/>
      <c r="FC9" s="361"/>
      <c r="FD9" s="362"/>
      <c r="FE9" s="34"/>
      <c r="FF9" s="34"/>
      <c r="FG9" s="34"/>
      <c r="FH9" s="34"/>
      <c r="FI9" s="33"/>
      <c r="FJ9" s="34"/>
      <c r="FK9" s="34"/>
      <c r="FL9" s="34"/>
      <c r="FM9" s="5"/>
      <c r="FN9" s="6"/>
      <c r="FO9" s="5"/>
      <c r="FP9" s="5"/>
      <c r="FQ9" s="5"/>
      <c r="FR9" s="5"/>
      <c r="FS9" s="5"/>
      <c r="FT9" s="5"/>
      <c r="FU9" s="5"/>
      <c r="FV9" s="5"/>
      <c r="FW9" s="5"/>
      <c r="FX9" s="5"/>
      <c r="FY9" s="5"/>
      <c r="FZ9" s="5"/>
      <c r="GA9" s="5"/>
      <c r="GB9" s="5"/>
      <c r="GC9" s="5"/>
      <c r="GD9" s="5"/>
      <c r="GE9" s="5"/>
      <c r="GF9" s="5"/>
      <c r="GG9" s="5"/>
      <c r="GH9" s="5"/>
      <c r="GI9" s="5"/>
      <c r="GJ9" s="5"/>
    </row>
    <row r="10" spans="1:192" ht="13.8" customHeight="1" thickBot="1">
      <c r="A10" s="104"/>
      <c r="B10" s="104" t="s">
        <v>61</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70"/>
      <c r="AR10" s="170"/>
      <c r="AS10" s="170"/>
      <c r="AT10" s="170"/>
      <c r="AU10" s="478" t="s">
        <v>86</v>
      </c>
      <c r="AV10" s="478"/>
      <c r="AW10" s="478"/>
      <c r="AX10" s="478"/>
      <c r="AY10" s="478"/>
      <c r="AZ10" s="179"/>
      <c r="BA10" s="378" t="s">
        <v>250</v>
      </c>
      <c r="BB10" s="378"/>
      <c r="BC10" s="378"/>
      <c r="BD10" s="378"/>
      <c r="BE10" s="179"/>
      <c r="BF10" s="378" t="s">
        <v>92</v>
      </c>
      <c r="BG10" s="378"/>
      <c r="BH10" s="378"/>
      <c r="BI10" s="378"/>
      <c r="BJ10" s="179"/>
      <c r="BK10" s="378" t="s">
        <v>93</v>
      </c>
      <c r="BL10" s="378"/>
      <c r="BM10" s="378"/>
      <c r="BN10" s="378"/>
      <c r="BO10" s="179"/>
      <c r="BP10" s="378" t="s">
        <v>94</v>
      </c>
      <c r="BQ10" s="378"/>
      <c r="BR10" s="378"/>
      <c r="BS10" s="378"/>
      <c r="BT10" s="179"/>
      <c r="BU10" s="378" t="s">
        <v>95</v>
      </c>
      <c r="BV10" s="378"/>
      <c r="BW10" s="378"/>
      <c r="BX10" s="378"/>
      <c r="BY10" s="170"/>
      <c r="BZ10" s="132"/>
      <c r="CP10" s="1"/>
      <c r="CQ10" s="1"/>
      <c r="CR10" s="1"/>
      <c r="CS10" s="1"/>
      <c r="CT10" s="1"/>
      <c r="CU10" s="1"/>
      <c r="CV10" s="1"/>
      <c r="CW10" s="1"/>
      <c r="CX10" s="1"/>
      <c r="CY10" s="1"/>
      <c r="CZ10" s="1"/>
      <c r="DA10" s="1"/>
      <c r="DB10" s="1"/>
      <c r="DC10" s="1"/>
      <c r="DD10" s="132"/>
      <c r="DE10" s="21"/>
      <c r="DF10" s="22" t="s">
        <v>183</v>
      </c>
      <c r="DG10" s="22"/>
      <c r="DH10" s="22"/>
      <c r="DI10" s="22"/>
      <c r="DJ10" s="22"/>
      <c r="DK10" s="22"/>
      <c r="DL10" s="22"/>
      <c r="DM10" s="373" t="str">
        <f>IF(BP24&gt;0,"軽減後月割保険料：","")</f>
        <v/>
      </c>
      <c r="DN10" s="374"/>
      <c r="DO10" s="374"/>
      <c r="DP10" s="374"/>
      <c r="DQ10" s="375"/>
      <c r="DR10" s="370" t="str">
        <f>IF(BP24&gt;0,(CZ12-CT7)/DK12,"")</f>
        <v/>
      </c>
      <c r="DS10" s="371"/>
      <c r="DT10" s="371"/>
      <c r="DU10" s="371"/>
      <c r="DV10" s="372"/>
      <c r="DW10" s="22"/>
      <c r="DX10" s="5"/>
      <c r="DY10" s="22"/>
      <c r="DZ10" s="22"/>
      <c r="EA10" s="4"/>
      <c r="EB10" s="4"/>
      <c r="EC10" s="4"/>
      <c r="ED10" s="4"/>
      <c r="EE10" s="4"/>
      <c r="EF10" s="4"/>
      <c r="EG10" s="4"/>
      <c r="EH10" s="4"/>
      <c r="EI10" s="4"/>
      <c r="EJ10" s="33"/>
      <c r="EK10" s="33"/>
      <c r="EL10" s="141"/>
      <c r="EM10" s="34"/>
      <c r="EN10" s="34"/>
      <c r="EO10" s="34"/>
      <c r="EP10" s="34"/>
      <c r="EQ10" s="34"/>
      <c r="ER10" s="34"/>
      <c r="ES10" s="34"/>
      <c r="ET10" s="34"/>
      <c r="EU10" s="34"/>
      <c r="EV10" s="139" t="s">
        <v>108</v>
      </c>
      <c r="EW10" s="34"/>
      <c r="EX10" s="34"/>
      <c r="EY10" s="34"/>
      <c r="EZ10" s="34"/>
      <c r="FA10" s="34"/>
      <c r="FB10" s="34"/>
      <c r="FC10" s="34"/>
      <c r="FD10" s="34"/>
      <c r="FE10" s="34"/>
      <c r="FF10" s="34"/>
      <c r="FG10" s="34"/>
      <c r="FH10" s="34"/>
      <c r="FI10" s="33"/>
      <c r="FJ10" s="34"/>
      <c r="FK10" s="34"/>
      <c r="FL10" s="34"/>
      <c r="FM10" s="5"/>
      <c r="FN10" s="6"/>
      <c r="FO10" s="5"/>
      <c r="FP10" s="5"/>
      <c r="FQ10" s="5"/>
      <c r="FR10" s="5"/>
      <c r="FS10" s="5"/>
      <c r="FT10" s="5"/>
      <c r="FU10" s="5"/>
      <c r="FV10" s="5"/>
      <c r="FW10" s="5"/>
      <c r="FX10" s="5"/>
      <c r="FY10" s="5"/>
      <c r="FZ10" s="5"/>
      <c r="GA10" s="5"/>
      <c r="GB10" s="5"/>
      <c r="GC10" s="5"/>
      <c r="GD10" s="5"/>
      <c r="GE10" s="5"/>
      <c r="GF10" s="5"/>
      <c r="GG10" s="5"/>
      <c r="GH10" s="5"/>
      <c r="GI10" s="5"/>
      <c r="GJ10" s="5"/>
    </row>
    <row r="11" spans="1:192" ht="13.8" customHeight="1">
      <c r="A11" s="104"/>
      <c r="B11" s="659" t="s">
        <v>12</v>
      </c>
      <c r="C11" s="660"/>
      <c r="D11" s="660"/>
      <c r="E11" s="660"/>
      <c r="F11" s="660"/>
      <c r="G11" s="660"/>
      <c r="H11" s="660"/>
      <c r="I11" s="660"/>
      <c r="J11" s="660"/>
      <c r="K11" s="661"/>
      <c r="L11" s="642" t="s">
        <v>13</v>
      </c>
      <c r="M11" s="643"/>
      <c r="N11" s="643"/>
      <c r="O11" s="643"/>
      <c r="P11" s="643"/>
      <c r="Q11" s="643"/>
      <c r="R11" s="643"/>
      <c r="S11" s="643"/>
      <c r="T11" s="643"/>
      <c r="U11" s="644"/>
      <c r="V11" s="642" t="s">
        <v>59</v>
      </c>
      <c r="W11" s="643"/>
      <c r="X11" s="643"/>
      <c r="Y11" s="643"/>
      <c r="Z11" s="643"/>
      <c r="AA11" s="643"/>
      <c r="AB11" s="643"/>
      <c r="AC11" s="643"/>
      <c r="AD11" s="643"/>
      <c r="AE11" s="644"/>
      <c r="AF11" s="642" t="s">
        <v>190</v>
      </c>
      <c r="AG11" s="643"/>
      <c r="AH11" s="643"/>
      <c r="AI11" s="643"/>
      <c r="AJ11" s="643"/>
      <c r="AK11" s="643"/>
      <c r="AL11" s="643"/>
      <c r="AM11" s="643"/>
      <c r="AN11" s="643"/>
      <c r="AO11" s="644"/>
      <c r="AP11" s="104"/>
      <c r="AQ11" s="170"/>
      <c r="AR11" s="479" t="s">
        <v>87</v>
      </c>
      <c r="AS11" s="479"/>
      <c r="AT11" s="479"/>
      <c r="AU11" s="480" t="str">
        <f>IF(試算シート!I15="加入する","世帯主","擬制世帯主")</f>
        <v>世帯主</v>
      </c>
      <c r="AV11" s="481"/>
      <c r="AW11" s="481"/>
      <c r="AX11" s="481"/>
      <c r="AY11" s="482"/>
      <c r="AZ11" s="180"/>
      <c r="BA11" s="477" t="str">
        <f>IF(試算シート!N16="","非加入者","被保険者")</f>
        <v>非加入者</v>
      </c>
      <c r="BB11" s="477"/>
      <c r="BC11" s="477"/>
      <c r="BD11" s="477"/>
      <c r="BE11" s="157"/>
      <c r="BF11" s="396" t="str">
        <f>IF(試算シート!R16="","非加入者","被保険者")</f>
        <v>非加入者</v>
      </c>
      <c r="BG11" s="397"/>
      <c r="BH11" s="397"/>
      <c r="BI11" s="398"/>
      <c r="BJ11" s="157"/>
      <c r="BK11" s="396" t="str">
        <f>IF(試算シート!V16="","非加入者","被保険者")</f>
        <v>非加入者</v>
      </c>
      <c r="BL11" s="397"/>
      <c r="BM11" s="397"/>
      <c r="BN11" s="398"/>
      <c r="BO11" s="157"/>
      <c r="BP11" s="396" t="str">
        <f>IF(試算シート!Z16="","非加入者","被保険者")</f>
        <v>非加入者</v>
      </c>
      <c r="BQ11" s="397"/>
      <c r="BR11" s="397"/>
      <c r="BS11" s="398"/>
      <c r="BT11" s="157"/>
      <c r="BU11" s="456" t="s">
        <v>85</v>
      </c>
      <c r="BV11" s="457"/>
      <c r="BW11" s="457"/>
      <c r="BX11" s="458"/>
      <c r="BY11" s="170"/>
      <c r="BZ11" s="132"/>
      <c r="CB11" s="406" t="s">
        <v>113</v>
      </c>
      <c r="CC11" s="399"/>
      <c r="CD11" s="399" t="s">
        <v>114</v>
      </c>
      <c r="CE11" s="399"/>
      <c r="CF11" s="399" t="s">
        <v>115</v>
      </c>
      <c r="CG11" s="399"/>
      <c r="CH11" s="399" t="s">
        <v>116</v>
      </c>
      <c r="CI11" s="399"/>
      <c r="CJ11" s="399" t="s">
        <v>117</v>
      </c>
      <c r="CK11" s="399"/>
      <c r="CL11" s="399" t="s">
        <v>118</v>
      </c>
      <c r="CM11" s="399"/>
      <c r="CN11" s="399" t="s">
        <v>119</v>
      </c>
      <c r="CO11" s="399"/>
      <c r="CP11" s="399" t="s">
        <v>120</v>
      </c>
      <c r="CQ11" s="399"/>
      <c r="CR11" s="399" t="s">
        <v>121</v>
      </c>
      <c r="CS11" s="399"/>
      <c r="CT11" s="399" t="s">
        <v>122</v>
      </c>
      <c r="CU11" s="399"/>
      <c r="CV11" s="399" t="s">
        <v>123</v>
      </c>
      <c r="CW11" s="399"/>
      <c r="CX11" s="399" t="s">
        <v>124</v>
      </c>
      <c r="CY11" s="527"/>
      <c r="CZ11" s="410" t="s">
        <v>28</v>
      </c>
      <c r="DA11" s="411"/>
      <c r="DB11" s="412"/>
      <c r="DC11" s="15"/>
      <c r="DD11" s="130"/>
      <c r="DE11" s="21"/>
      <c r="DF11" s="6"/>
      <c r="DG11" s="5"/>
      <c r="DH11" s="5"/>
      <c r="DI11" s="34"/>
      <c r="DJ11" s="34"/>
      <c r="DK11" s="34"/>
      <c r="DL11" s="34"/>
      <c r="DM11" s="34"/>
      <c r="DN11" s="34"/>
      <c r="DO11" s="34"/>
      <c r="DP11" s="34"/>
      <c r="DQ11" s="34"/>
      <c r="DR11" s="34"/>
      <c r="DS11" s="34"/>
      <c r="DT11" s="34"/>
      <c r="DU11" s="34"/>
      <c r="DV11" s="34"/>
      <c r="DW11" s="34"/>
      <c r="DX11" s="5"/>
      <c r="DY11" s="22"/>
      <c r="DZ11" s="22"/>
      <c r="EA11" s="4"/>
      <c r="EB11" s="4"/>
      <c r="EC11" s="4"/>
      <c r="ED11" s="4"/>
      <c r="EE11" s="4"/>
      <c r="EF11" s="4"/>
      <c r="EG11" s="4"/>
      <c r="EH11" s="4"/>
      <c r="EI11" s="4"/>
      <c r="EJ11" s="33"/>
      <c r="EK11" s="33"/>
      <c r="EL11" s="141"/>
      <c r="EM11" s="34"/>
      <c r="EN11" s="34"/>
      <c r="EO11" s="34"/>
      <c r="EP11" s="34"/>
      <c r="EQ11" s="34"/>
      <c r="ER11" s="34"/>
      <c r="ES11" s="34"/>
      <c r="ET11" s="34"/>
      <c r="EU11" s="34"/>
      <c r="EV11" s="354">
        <f>EV9</f>
        <v>0</v>
      </c>
      <c r="EW11" s="355"/>
      <c r="EX11" s="355"/>
      <c r="EY11" s="356"/>
      <c r="EZ11" s="34"/>
      <c r="FA11" s="34"/>
      <c r="FB11" s="34"/>
      <c r="FC11" s="34"/>
      <c r="FD11" s="34"/>
      <c r="FE11" s="34"/>
      <c r="FF11" s="34"/>
      <c r="FG11" s="34"/>
      <c r="FH11" s="34"/>
      <c r="FI11" s="33"/>
      <c r="FJ11" s="34"/>
      <c r="FK11" s="34"/>
      <c r="FL11" s="34"/>
      <c r="FM11" s="5"/>
      <c r="FN11" s="6"/>
      <c r="FO11" s="5"/>
      <c r="FP11" s="5"/>
      <c r="FQ11" s="5"/>
      <c r="FR11" s="5"/>
      <c r="FS11" s="5"/>
      <c r="FT11" s="5"/>
      <c r="FU11" s="5"/>
      <c r="FV11" s="5"/>
      <c r="FW11" s="5"/>
      <c r="FX11" s="5"/>
      <c r="FY11" s="5"/>
      <c r="FZ11" s="5"/>
      <c r="GA11" s="5"/>
      <c r="GB11" s="5"/>
      <c r="GC11" s="5"/>
      <c r="GD11" s="5"/>
      <c r="GE11" s="5"/>
      <c r="GF11" s="5"/>
      <c r="GG11" s="5"/>
      <c r="GH11" s="5"/>
      <c r="GI11" s="5"/>
      <c r="GJ11" s="5"/>
    </row>
    <row r="12" spans="1:192" ht="13.8" customHeight="1" thickBot="1">
      <c r="A12" s="104"/>
      <c r="B12" s="645" t="s">
        <v>21</v>
      </c>
      <c r="C12" s="646"/>
      <c r="D12" s="646"/>
      <c r="E12" s="646"/>
      <c r="F12" s="646" t="s">
        <v>15</v>
      </c>
      <c r="G12" s="646"/>
      <c r="H12" s="646"/>
      <c r="I12" s="646" t="s">
        <v>16</v>
      </c>
      <c r="J12" s="646"/>
      <c r="K12" s="662"/>
      <c r="L12" s="645" t="s">
        <v>21</v>
      </c>
      <c r="M12" s="646"/>
      <c r="N12" s="646"/>
      <c r="O12" s="646"/>
      <c r="P12" s="646" t="s">
        <v>15</v>
      </c>
      <c r="Q12" s="646"/>
      <c r="R12" s="646"/>
      <c r="S12" s="646" t="s">
        <v>16</v>
      </c>
      <c r="T12" s="646"/>
      <c r="U12" s="662"/>
      <c r="V12" s="645" t="s">
        <v>21</v>
      </c>
      <c r="W12" s="646"/>
      <c r="X12" s="646"/>
      <c r="Y12" s="646"/>
      <c r="Z12" s="646" t="s">
        <v>15</v>
      </c>
      <c r="AA12" s="646"/>
      <c r="AB12" s="646"/>
      <c r="AC12" s="646" t="s">
        <v>16</v>
      </c>
      <c r="AD12" s="646"/>
      <c r="AE12" s="662"/>
      <c r="AF12" s="645" t="s">
        <v>21</v>
      </c>
      <c r="AG12" s="646"/>
      <c r="AH12" s="646"/>
      <c r="AI12" s="646"/>
      <c r="AJ12" s="646" t="s">
        <v>15</v>
      </c>
      <c r="AK12" s="646"/>
      <c r="AL12" s="646"/>
      <c r="AM12" s="646" t="s">
        <v>16</v>
      </c>
      <c r="AN12" s="646"/>
      <c r="AO12" s="662"/>
      <c r="AP12" s="104"/>
      <c r="AQ12" s="170"/>
      <c r="AR12" s="479" t="s">
        <v>88</v>
      </c>
      <c r="AS12" s="479"/>
      <c r="AT12" s="479"/>
      <c r="AU12" s="475" t="str">
        <f>試算シート!I16</f>
        <v>４０歳未満</v>
      </c>
      <c r="AV12" s="475"/>
      <c r="AW12" s="475"/>
      <c r="AX12" s="475"/>
      <c r="AY12" s="475"/>
      <c r="AZ12" s="156"/>
      <c r="BA12" s="475" t="str">
        <f>IF(試算シート!N16="","関係なし",試算シート!N16)</f>
        <v>関係なし</v>
      </c>
      <c r="BB12" s="475"/>
      <c r="BC12" s="475"/>
      <c r="BD12" s="475"/>
      <c r="BE12" s="157"/>
      <c r="BF12" s="475" t="str">
        <f>IF(試算シート!R16="","関係なし",試算シート!R16)</f>
        <v>関係なし</v>
      </c>
      <c r="BG12" s="475"/>
      <c r="BH12" s="475"/>
      <c r="BI12" s="475"/>
      <c r="BJ12" s="157"/>
      <c r="BK12" s="475" t="str">
        <f>IF(試算シート!V16="","関係なし",試算シート!V16)</f>
        <v>関係なし</v>
      </c>
      <c r="BL12" s="475"/>
      <c r="BM12" s="475"/>
      <c r="BN12" s="475"/>
      <c r="BO12" s="157"/>
      <c r="BP12" s="475" t="str">
        <f>IF(試算シート!Z16="","関係なし",試算シート!Z16)</f>
        <v>関係なし</v>
      </c>
      <c r="BQ12" s="475"/>
      <c r="BR12" s="475"/>
      <c r="BS12" s="475"/>
      <c r="BT12" s="157"/>
      <c r="BU12" s="377" t="s">
        <v>133</v>
      </c>
      <c r="BV12" s="377"/>
      <c r="BW12" s="377"/>
      <c r="BX12" s="377"/>
      <c r="BY12" s="170"/>
      <c r="BZ12" s="132"/>
      <c r="CB12" s="413">
        <f>IF(DK12&gt;=12,DI18/DK12,"－")</f>
        <v>1925</v>
      </c>
      <c r="CC12" s="403"/>
      <c r="CD12" s="403">
        <f>IF(DK12&gt;=11,DI18/DK12,"－")</f>
        <v>1925</v>
      </c>
      <c r="CE12" s="403"/>
      <c r="CF12" s="403">
        <f>IF(DK12&gt;=10,DI18/DK12,"－")</f>
        <v>1925</v>
      </c>
      <c r="CG12" s="403"/>
      <c r="CH12" s="403">
        <f>IF(DK12&gt;=9,DI18/DK12,"－")</f>
        <v>1925</v>
      </c>
      <c r="CI12" s="403"/>
      <c r="CJ12" s="403">
        <f>IF(DK12&gt;=8,DI18/DK12,"－")</f>
        <v>1925</v>
      </c>
      <c r="CK12" s="403"/>
      <c r="CL12" s="403">
        <f>IF(DK12&gt;=7,DI18/DK12,"－")</f>
        <v>1925</v>
      </c>
      <c r="CM12" s="403"/>
      <c r="CN12" s="403">
        <f>IF(DK12&gt;=6,DI18/DK12,"－")</f>
        <v>1925</v>
      </c>
      <c r="CO12" s="403"/>
      <c r="CP12" s="403">
        <f>IF(DK12&gt;=5,DI18/DK12,"－")</f>
        <v>1925</v>
      </c>
      <c r="CQ12" s="403"/>
      <c r="CR12" s="403">
        <f>IF(DK12&gt;=4,DI18/DK12,"－")</f>
        <v>1925</v>
      </c>
      <c r="CS12" s="403"/>
      <c r="CT12" s="403">
        <f>IF(DK12&gt;=3,DI18/DK12,"－")</f>
        <v>1925</v>
      </c>
      <c r="CU12" s="403"/>
      <c r="CV12" s="403">
        <f>IF(DK12&gt;=2,DI18/DK12,"－")</f>
        <v>1925</v>
      </c>
      <c r="CW12" s="403"/>
      <c r="CX12" s="403">
        <f>IF(DK12&gt;=1,DI18/DK12,"－")</f>
        <v>1925</v>
      </c>
      <c r="CY12" s="404"/>
      <c r="CZ12" s="400">
        <f>SUM(CB12:CY12)</f>
        <v>23100</v>
      </c>
      <c r="DA12" s="401"/>
      <c r="DB12" s="402"/>
      <c r="DC12" s="35"/>
      <c r="DD12" s="130"/>
      <c r="DE12" s="21"/>
      <c r="DF12" s="52" t="s">
        <v>29</v>
      </c>
      <c r="DG12" s="5"/>
      <c r="DH12" s="5"/>
      <c r="DI12" s="34"/>
      <c r="DJ12" s="36"/>
      <c r="DK12" s="369">
        <f>IF(AX23&gt;3,12-AX23+4,IF(AX23&lt;=3,3-AX23+1))</f>
        <v>12</v>
      </c>
      <c r="DL12" s="369"/>
      <c r="DM12" s="369"/>
      <c r="DN12" s="34"/>
      <c r="DO12" s="34"/>
      <c r="DP12" s="34"/>
      <c r="DQ12" s="34"/>
      <c r="DR12" s="5"/>
      <c r="DS12" s="5"/>
      <c r="DT12" s="5"/>
      <c r="DU12" s="5"/>
      <c r="DV12" s="5"/>
      <c r="DW12" s="5"/>
      <c r="DX12" s="5"/>
      <c r="DY12" s="36"/>
      <c r="DZ12" s="37"/>
      <c r="EA12" s="4"/>
      <c r="EB12" s="4"/>
      <c r="EC12" s="4"/>
      <c r="ED12" s="4"/>
      <c r="EE12" s="4"/>
      <c r="EF12" s="4"/>
      <c r="EG12" s="4"/>
      <c r="EH12" s="4"/>
      <c r="EI12" s="4"/>
      <c r="EJ12" s="33"/>
      <c r="EK12" s="33"/>
      <c r="EL12" s="141"/>
      <c r="EM12" s="34"/>
      <c r="EN12" s="34"/>
      <c r="EO12" s="34"/>
      <c r="EP12" s="34"/>
      <c r="EQ12" s="34"/>
      <c r="ER12" s="34"/>
      <c r="ES12" s="34"/>
      <c r="ET12" s="34"/>
      <c r="EU12" s="34"/>
      <c r="EV12" s="34" t="s">
        <v>205</v>
      </c>
      <c r="EW12" s="34"/>
      <c r="EX12" s="34"/>
      <c r="EY12" s="34"/>
      <c r="EZ12" s="34"/>
      <c r="FA12" s="34"/>
      <c r="FB12" s="34"/>
      <c r="FC12" s="34"/>
      <c r="FD12" s="34"/>
      <c r="FE12" s="34"/>
      <c r="FF12" s="34"/>
      <c r="FG12" s="34"/>
      <c r="FH12" s="34"/>
      <c r="FI12" s="33"/>
      <c r="FJ12" s="34"/>
      <c r="FK12" s="34"/>
      <c r="FL12" s="34"/>
      <c r="FM12" s="5"/>
      <c r="FN12" s="6"/>
      <c r="FO12" s="5"/>
      <c r="FP12" s="5"/>
      <c r="FQ12" s="5"/>
      <c r="FR12" s="5"/>
      <c r="FS12" s="5"/>
      <c r="FT12" s="5"/>
      <c r="FU12" s="5"/>
      <c r="FV12" s="5"/>
      <c r="FW12" s="5"/>
      <c r="FX12" s="5"/>
      <c r="FY12" s="5"/>
      <c r="FZ12" s="5"/>
      <c r="GA12" s="5"/>
      <c r="GB12" s="5"/>
      <c r="GC12" s="5"/>
      <c r="GD12" s="5"/>
      <c r="GE12" s="5"/>
      <c r="GF12" s="5"/>
      <c r="GG12" s="5"/>
      <c r="GH12" s="5"/>
      <c r="GI12" s="5"/>
      <c r="GJ12" s="5"/>
    </row>
    <row r="13" spans="1:192" ht="13.8" customHeight="1" thickBot="1">
      <c r="A13" s="206"/>
      <c r="B13" s="654">
        <f>B8</f>
        <v>8.1</v>
      </c>
      <c r="C13" s="655"/>
      <c r="D13" s="656" t="s">
        <v>0</v>
      </c>
      <c r="E13" s="657"/>
      <c r="F13" s="658">
        <f>F8/2</f>
        <v>17550</v>
      </c>
      <c r="G13" s="658"/>
      <c r="H13" s="658"/>
      <c r="I13" s="658">
        <f>I8/2</f>
        <v>11300</v>
      </c>
      <c r="J13" s="658"/>
      <c r="K13" s="669"/>
      <c r="L13" s="693"/>
      <c r="M13" s="694"/>
      <c r="N13" s="694"/>
      <c r="O13" s="694"/>
      <c r="P13" s="694"/>
      <c r="Q13" s="694"/>
      <c r="R13" s="694"/>
      <c r="S13" s="694"/>
      <c r="T13" s="694"/>
      <c r="U13" s="695"/>
      <c r="V13" s="654">
        <f>V8</f>
        <v>2.7</v>
      </c>
      <c r="W13" s="655"/>
      <c r="X13" s="656" t="s">
        <v>0</v>
      </c>
      <c r="Y13" s="657"/>
      <c r="Z13" s="658">
        <f>Z8/2</f>
        <v>5900</v>
      </c>
      <c r="AA13" s="658"/>
      <c r="AB13" s="658"/>
      <c r="AC13" s="658">
        <f>AC8/2</f>
        <v>3800</v>
      </c>
      <c r="AD13" s="658"/>
      <c r="AE13" s="669"/>
      <c r="AF13" s="654">
        <f>AF8</f>
        <v>0</v>
      </c>
      <c r="AG13" s="655"/>
      <c r="AH13" s="656" t="s">
        <v>0</v>
      </c>
      <c r="AI13" s="657"/>
      <c r="AJ13" s="658">
        <f>AJ8/2</f>
        <v>0</v>
      </c>
      <c r="AK13" s="658"/>
      <c r="AL13" s="658"/>
      <c r="AM13" s="658">
        <f>AM8/2</f>
        <v>0</v>
      </c>
      <c r="AN13" s="658"/>
      <c r="AO13" s="669"/>
      <c r="AP13" s="206"/>
      <c r="AQ13" s="170"/>
      <c r="AR13" s="170"/>
      <c r="AS13" s="170"/>
      <c r="AT13" s="170"/>
      <c r="AU13" s="170"/>
      <c r="AV13" s="170"/>
      <c r="AW13" s="170"/>
      <c r="AX13" s="219"/>
      <c r="AY13" s="219"/>
      <c r="AZ13" s="219"/>
      <c r="BA13" s="220" t="str">
        <f>IF(BA11=DM4,IF(BA12=DT8,"","年齢は65以上"),IF(BA11=DM5,IF(BA12=DT8,"","年齢は65以上"),""))</f>
        <v/>
      </c>
      <c r="BB13" s="170"/>
      <c r="BC13" s="170"/>
      <c r="BD13" s="221"/>
      <c r="BE13" s="170"/>
      <c r="BF13" s="220" t="str">
        <f>IF(BF11=DM4,IF(BF12=DT8,"","年齢は65以上"),IF(BF11=DM5,IF(BF12=DT8,"","年齢は65以上"),""))</f>
        <v/>
      </c>
      <c r="BG13" s="170"/>
      <c r="BH13" s="170"/>
      <c r="BI13" s="221"/>
      <c r="BJ13" s="170"/>
      <c r="BK13" s="220" t="str">
        <f>IF(BK11=DM4,IF(BK12=DT8,"","年齢は65以上"),IF(BK11=DM5,IF(BK12=DT8,"","年齢は65以上"),""))</f>
        <v/>
      </c>
      <c r="BL13" s="170"/>
      <c r="BM13" s="170"/>
      <c r="BN13" s="221"/>
      <c r="BO13" s="170"/>
      <c r="BP13" s="220" t="str">
        <f>IF(BP11=DM4,IF(BP12=DT8,"","年齢は65以上"),IF(BP11=DM5,IF(BP12=DT8,"","年齢は65以上"),""))</f>
        <v/>
      </c>
      <c r="BQ13" s="170"/>
      <c r="BR13" s="170"/>
      <c r="BS13" s="221"/>
      <c r="BT13" s="170"/>
      <c r="BU13" s="220" t="str">
        <f>IF(BU11=DM4,IF(BU12=DT8,"","年齢は65以上"),IF(BU11=DM5,IF(BU12=DT8,"","年齢は65以上"),""))</f>
        <v/>
      </c>
      <c r="BV13" s="170"/>
      <c r="BW13" s="170"/>
      <c r="BX13" s="221"/>
      <c r="BY13" s="170"/>
      <c r="BZ13" s="132"/>
      <c r="CB13" s="38"/>
      <c r="CC13" s="38"/>
      <c r="CD13" s="38"/>
      <c r="CE13" s="38"/>
      <c r="CF13" s="39"/>
      <c r="CG13" s="39"/>
      <c r="CH13" s="39"/>
      <c r="CI13" s="39"/>
      <c r="CJ13" s="39"/>
      <c r="CK13" s="39"/>
      <c r="CL13" s="39"/>
      <c r="CM13" s="39"/>
      <c r="CN13" s="39"/>
      <c r="CO13" s="39"/>
      <c r="CP13" s="39"/>
      <c r="CQ13" s="39"/>
      <c r="CR13" s="39"/>
      <c r="CS13" s="39"/>
      <c r="CT13" s="39"/>
      <c r="CU13" s="39"/>
      <c r="CV13" s="39"/>
      <c r="CW13" s="39"/>
      <c r="CX13" s="39"/>
      <c r="CY13" s="39"/>
      <c r="CZ13" s="38"/>
      <c r="DA13" s="38"/>
      <c r="DB13" s="1"/>
      <c r="DC13" s="1"/>
      <c r="DD13" s="130"/>
      <c r="DE13" s="21"/>
      <c r="DF13" s="6"/>
      <c r="DG13" s="5"/>
      <c r="DH13" s="5"/>
      <c r="DI13" s="5"/>
      <c r="DJ13" s="5"/>
      <c r="DK13" s="5"/>
      <c r="DL13" s="36" t="s">
        <v>144</v>
      </c>
      <c r="DM13" s="36"/>
      <c r="DN13" s="36"/>
      <c r="DO13" s="36" t="s">
        <v>143</v>
      </c>
      <c r="DP13" s="36"/>
      <c r="DQ13" s="36"/>
      <c r="DR13" s="36" t="s">
        <v>145</v>
      </c>
      <c r="DS13" s="36"/>
      <c r="DT13" s="36"/>
      <c r="DU13" s="36" t="s">
        <v>146</v>
      </c>
      <c r="DV13" s="36"/>
      <c r="DW13" s="36"/>
      <c r="DX13" s="36"/>
      <c r="DY13" s="5"/>
      <c r="DZ13" s="4"/>
      <c r="EA13" s="4"/>
      <c r="EB13" s="4"/>
      <c r="EC13" s="4"/>
      <c r="ED13" s="4"/>
      <c r="EE13" s="4"/>
      <c r="EF13" s="4"/>
      <c r="EG13" s="4"/>
      <c r="EH13" s="4"/>
      <c r="EI13" s="4"/>
      <c r="EJ13" s="33"/>
      <c r="EK13" s="33"/>
      <c r="EL13" s="141"/>
      <c r="EM13" s="34"/>
      <c r="EN13" s="34"/>
      <c r="EO13" s="34"/>
      <c r="EP13" s="34"/>
      <c r="EQ13" s="34"/>
      <c r="ER13" s="34"/>
      <c r="ES13" s="34"/>
      <c r="ET13" s="34"/>
      <c r="EU13" s="34"/>
      <c r="EV13" s="348">
        <f>SUM(EG3:EG8)</f>
        <v>0</v>
      </c>
      <c r="EW13" s="349"/>
      <c r="EX13" s="349"/>
      <c r="EY13" s="350"/>
      <c r="EZ13" s="34"/>
      <c r="FA13" s="34"/>
      <c r="FB13" s="34"/>
      <c r="FC13" s="34"/>
      <c r="FD13" s="34"/>
      <c r="FE13" s="34"/>
      <c r="FF13" s="34"/>
      <c r="FG13" s="34"/>
      <c r="FH13" s="34"/>
      <c r="FI13" s="33"/>
      <c r="FJ13" s="34"/>
      <c r="FK13" s="34"/>
      <c r="FL13" s="34"/>
      <c r="FM13" s="5"/>
      <c r="FN13" s="6"/>
      <c r="FO13" s="5"/>
      <c r="FP13" s="5"/>
      <c r="FQ13" s="5"/>
      <c r="FR13" s="5"/>
      <c r="FS13" s="5"/>
      <c r="FT13" s="5"/>
      <c r="FU13" s="5"/>
      <c r="FV13" s="5"/>
      <c r="FW13" s="5"/>
      <c r="FX13" s="5"/>
      <c r="FY13" s="5"/>
      <c r="FZ13" s="5"/>
      <c r="GA13" s="5"/>
      <c r="GB13" s="5"/>
      <c r="GC13" s="5"/>
      <c r="GD13" s="5"/>
      <c r="GE13" s="5"/>
      <c r="GF13" s="5"/>
      <c r="GG13" s="5"/>
      <c r="GH13" s="5"/>
      <c r="GI13" s="5"/>
      <c r="GJ13" s="5"/>
    </row>
    <row r="14" spans="1:192" ht="13.8" customHeight="1">
      <c r="A14" s="104"/>
      <c r="B14" s="108"/>
      <c r="C14" s="108"/>
      <c r="D14" s="115"/>
      <c r="E14" s="115"/>
      <c r="F14" s="109"/>
      <c r="G14" s="109"/>
      <c r="H14" s="109"/>
      <c r="I14" s="109"/>
      <c r="J14" s="109"/>
      <c r="K14" s="109"/>
      <c r="L14" s="108"/>
      <c r="M14" s="108"/>
      <c r="N14" s="115"/>
      <c r="O14" s="115"/>
      <c r="P14" s="104"/>
      <c r="Q14" s="104"/>
      <c r="R14" s="104"/>
      <c r="S14" s="116"/>
      <c r="T14" s="116"/>
      <c r="U14" s="116"/>
      <c r="V14" s="108"/>
      <c r="W14" s="108"/>
      <c r="X14" s="115"/>
      <c r="Y14" s="115"/>
      <c r="Z14" s="109"/>
      <c r="AA14" s="109"/>
      <c r="AB14" s="109"/>
      <c r="AC14" s="109"/>
      <c r="AD14" s="109"/>
      <c r="AE14" s="109"/>
      <c r="AF14" s="108"/>
      <c r="AG14" s="108"/>
      <c r="AH14" s="115"/>
      <c r="AI14" s="115"/>
      <c r="AJ14" s="109"/>
      <c r="AK14" s="109"/>
      <c r="AL14" s="109"/>
      <c r="AM14" s="109"/>
      <c r="AN14" s="109"/>
      <c r="AO14" s="109"/>
      <c r="AP14" s="104"/>
      <c r="AQ14" s="170"/>
      <c r="AR14" s="436" t="s">
        <v>18</v>
      </c>
      <c r="AS14" s="436"/>
      <c r="AT14" s="436"/>
      <c r="AU14" s="483">
        <f>試算シート!I18</f>
        <v>0</v>
      </c>
      <c r="AV14" s="484"/>
      <c r="AW14" s="484"/>
      <c r="AX14" s="484"/>
      <c r="AY14" s="485"/>
      <c r="AZ14" s="181"/>
      <c r="BA14" s="380">
        <f>試算シート!N18</f>
        <v>0</v>
      </c>
      <c r="BB14" s="380"/>
      <c r="BC14" s="380"/>
      <c r="BD14" s="380"/>
      <c r="BE14" s="181"/>
      <c r="BF14" s="380">
        <f>試算シート!R18</f>
        <v>0</v>
      </c>
      <c r="BG14" s="380"/>
      <c r="BH14" s="380"/>
      <c r="BI14" s="380"/>
      <c r="BJ14" s="181"/>
      <c r="BK14" s="380">
        <f>試算シート!V18</f>
        <v>0</v>
      </c>
      <c r="BL14" s="380"/>
      <c r="BM14" s="380"/>
      <c r="BN14" s="380"/>
      <c r="BO14" s="181"/>
      <c r="BP14" s="380">
        <f>試算シート!Z18</f>
        <v>0</v>
      </c>
      <c r="BQ14" s="380"/>
      <c r="BR14" s="380"/>
      <c r="BS14" s="380"/>
      <c r="BT14" s="181"/>
      <c r="BU14" s="476"/>
      <c r="BV14" s="476"/>
      <c r="BW14" s="476"/>
      <c r="BX14" s="476"/>
      <c r="BY14" s="170"/>
      <c r="BZ14" s="132"/>
      <c r="CB14" s="40" t="s">
        <v>56</v>
      </c>
      <c r="CC14" s="162"/>
      <c r="CD14" s="15"/>
      <c r="CE14" s="41"/>
      <c r="CF14" s="421" t="s">
        <v>33</v>
      </c>
      <c r="CG14" s="393"/>
      <c r="CH14" s="393" t="s">
        <v>34</v>
      </c>
      <c r="CI14" s="393"/>
      <c r="CJ14" s="393" t="s">
        <v>35</v>
      </c>
      <c r="CK14" s="393"/>
      <c r="CL14" s="393" t="s">
        <v>36</v>
      </c>
      <c r="CM14" s="393"/>
      <c r="CN14" s="393" t="s">
        <v>37</v>
      </c>
      <c r="CO14" s="393"/>
      <c r="CP14" s="393" t="s">
        <v>38</v>
      </c>
      <c r="CQ14" s="393"/>
      <c r="CR14" s="393" t="s">
        <v>39</v>
      </c>
      <c r="CS14" s="393"/>
      <c r="CT14" s="393" t="s">
        <v>40</v>
      </c>
      <c r="CU14" s="393"/>
      <c r="CV14" s="393" t="s">
        <v>41</v>
      </c>
      <c r="CW14" s="393"/>
      <c r="CX14" s="393" t="s">
        <v>42</v>
      </c>
      <c r="CY14" s="393"/>
      <c r="CZ14" s="394" t="s">
        <v>28</v>
      </c>
      <c r="DA14" s="394"/>
      <c r="DB14" s="395"/>
      <c r="DC14" s="35"/>
      <c r="DD14" s="130"/>
      <c r="DE14" s="21"/>
      <c r="DF14" s="382" t="s">
        <v>31</v>
      </c>
      <c r="DG14" s="382"/>
      <c r="DH14" s="382"/>
      <c r="DI14" s="363">
        <f>IF(CS26&gt;料率!E41,ROUNDDOWN(料率!E41*DK12/12,-2),ROUNDDOWN(CS26*DK12/12,-2))</f>
        <v>17300</v>
      </c>
      <c r="DJ14" s="364"/>
      <c r="DK14" s="365"/>
      <c r="DL14" s="363">
        <f>IF(CS26&gt;料率!E41,ROUNDDOWN(料率!E41*DK12/12,0),ROUNDDOWN(CS26*DK12/12,0))</f>
        <v>17310</v>
      </c>
      <c r="DM14" s="364"/>
      <c r="DN14" s="365"/>
      <c r="DO14" s="363">
        <f>FC34</f>
        <v>0</v>
      </c>
      <c r="DP14" s="364"/>
      <c r="DQ14" s="365"/>
      <c r="DR14" s="363">
        <f>DL14-DO14</f>
        <v>17310</v>
      </c>
      <c r="DS14" s="364"/>
      <c r="DT14" s="365"/>
      <c r="DU14" s="363">
        <f>ROUNDDOWN(DR14,-2)</f>
        <v>17300</v>
      </c>
      <c r="DV14" s="364"/>
      <c r="DW14" s="365"/>
      <c r="DX14" s="5"/>
      <c r="DY14" s="5"/>
      <c r="DZ14" s="4"/>
      <c r="EA14" s="22"/>
      <c r="EB14" s="37"/>
      <c r="EC14" s="4"/>
      <c r="ED14" s="4"/>
      <c r="EE14" s="4"/>
      <c r="EF14" s="4"/>
      <c r="EG14" s="4"/>
      <c r="EH14" s="4"/>
      <c r="EI14" s="4"/>
      <c r="EJ14" s="33"/>
      <c r="EK14" s="33"/>
      <c r="EL14" s="141"/>
      <c r="EM14" s="34"/>
      <c r="EN14" s="34"/>
      <c r="EO14" s="34"/>
      <c r="EP14" s="34"/>
      <c r="EQ14" s="34"/>
      <c r="ER14" s="34"/>
      <c r="ES14" s="34"/>
      <c r="ET14" s="34"/>
      <c r="EU14" s="34"/>
      <c r="EV14" s="139" t="s">
        <v>110</v>
      </c>
      <c r="EW14" s="34"/>
      <c r="EX14" s="34"/>
      <c r="EY14" s="34"/>
      <c r="EZ14" s="34"/>
      <c r="FA14" s="34"/>
      <c r="FB14" s="34"/>
      <c r="FC14" s="34"/>
      <c r="FD14" s="34"/>
      <c r="FE14" s="34"/>
      <c r="FF14" s="34"/>
      <c r="FG14" s="34"/>
      <c r="FH14" s="34"/>
      <c r="FI14" s="33"/>
      <c r="FJ14" s="33"/>
      <c r="FK14" s="33"/>
      <c r="FL14" s="33"/>
      <c r="FM14" s="4"/>
      <c r="FN14" s="10"/>
      <c r="FO14" s="5"/>
      <c r="FP14" s="5"/>
      <c r="FQ14" s="5"/>
      <c r="FR14" s="5"/>
      <c r="FS14" s="5"/>
      <c r="FT14" s="5"/>
      <c r="FU14" s="5"/>
      <c r="FV14" s="5"/>
      <c r="FW14" s="5"/>
      <c r="FX14" s="5"/>
      <c r="FY14" s="5"/>
      <c r="FZ14" s="5"/>
      <c r="GA14" s="5"/>
      <c r="GB14" s="5"/>
      <c r="GC14" s="5"/>
      <c r="GD14" s="5"/>
      <c r="GE14" s="5"/>
      <c r="GF14" s="5"/>
      <c r="GG14" s="5"/>
      <c r="GH14" s="5"/>
      <c r="GI14" s="5"/>
      <c r="GJ14" s="5"/>
    </row>
    <row r="15" spans="1:192" ht="13.8" customHeight="1">
      <c r="A15" s="104" t="s">
        <v>192</v>
      </c>
      <c r="B15" s="104"/>
      <c r="C15" s="104"/>
      <c r="D15" s="104"/>
      <c r="E15" s="104"/>
      <c r="F15" s="104"/>
      <c r="G15" s="104"/>
      <c r="H15" s="104"/>
      <c r="I15" s="104"/>
      <c r="J15" s="104"/>
      <c r="K15" s="104"/>
      <c r="L15" s="104"/>
      <c r="M15" s="104"/>
      <c r="N15" s="104"/>
      <c r="O15" s="109" t="s">
        <v>107</v>
      </c>
      <c r="P15" s="109"/>
      <c r="Q15" s="109"/>
      <c r="R15" s="109"/>
      <c r="S15" s="104"/>
      <c r="AQ15" s="170"/>
      <c r="AR15" s="436" t="s">
        <v>19</v>
      </c>
      <c r="AS15" s="436"/>
      <c r="AT15" s="436"/>
      <c r="AU15" s="483">
        <f>IF(AU12="６５歳以上",0,試算シート!I19)</f>
        <v>0</v>
      </c>
      <c r="AV15" s="484"/>
      <c r="AW15" s="484"/>
      <c r="AX15" s="484"/>
      <c r="AY15" s="485"/>
      <c r="AZ15" s="181"/>
      <c r="BA15" s="380">
        <f>IF(BA12="６５歳以上",0,試算シート!N19)</f>
        <v>0</v>
      </c>
      <c r="BB15" s="380"/>
      <c r="BC15" s="380"/>
      <c r="BD15" s="380"/>
      <c r="BE15" s="181"/>
      <c r="BF15" s="380">
        <f>IF(BF12="６５歳以上",0,試算シート!R19)</f>
        <v>0</v>
      </c>
      <c r="BG15" s="380"/>
      <c r="BH15" s="380"/>
      <c r="BI15" s="380"/>
      <c r="BJ15" s="181"/>
      <c r="BK15" s="380">
        <f>IF(BK12="６５歳以上",0,試算シート!V19)</f>
        <v>0</v>
      </c>
      <c r="BL15" s="380"/>
      <c r="BM15" s="380"/>
      <c r="BN15" s="380"/>
      <c r="BO15" s="181"/>
      <c r="BP15" s="380">
        <f>IF(BP12="６５歳以上",0,試算シート!Z19)</f>
        <v>0</v>
      </c>
      <c r="BQ15" s="380"/>
      <c r="BR15" s="380"/>
      <c r="BS15" s="380"/>
      <c r="BT15" s="181"/>
      <c r="BU15" s="476"/>
      <c r="BV15" s="476"/>
      <c r="BW15" s="476"/>
      <c r="BX15" s="476"/>
      <c r="BY15" s="170"/>
      <c r="BZ15" s="132"/>
      <c r="CB15" s="40"/>
      <c r="CC15" s="15"/>
      <c r="CD15" s="35"/>
      <c r="CE15" s="42" t="s">
        <v>57</v>
      </c>
      <c r="CF15" s="420">
        <f>IF(EV15="NG",IF(CT9&lt;=1,IF(CT9=1,DI18-CX15-CV15-CT15-CR15-CP15-CN15-CL15-CJ15-CH15,ROUNDDOWN(DI18/CY9,-2)),"－"),"")</f>
        <v>2400</v>
      </c>
      <c r="CG15" s="381"/>
      <c r="CH15" s="381">
        <f>IF(EV15="NG",IF(CT9&lt;=2,IF(CT9=2,DI18-CX15-CV15-CT15-CR15-CP15-CN15-CL15-CJ15,ROUNDDOWN(DI18/CY9,-2)),"－"),"特")</f>
        <v>2300</v>
      </c>
      <c r="CI15" s="381"/>
      <c r="CJ15" s="381">
        <f>IF(EV15="NG",IF(CT9&lt;=3,IF(CT9=3,DI18-CX15-CV15-CT15-CR15-CP15-CN15-CL15,ROUNDDOWN(DI18/CY9,-2)),"－"),"")</f>
        <v>2300</v>
      </c>
      <c r="CK15" s="381"/>
      <c r="CL15" s="381">
        <f>IF(EV15="NG",IF(CT9&lt;=4,IF(CT9=4,DI18-CX15-CV15-CT15-CR15-CP15-CN15,ROUNDDOWN(DI18/CY9,-2)),"－"),"別")</f>
        <v>2300</v>
      </c>
      <c r="CM15" s="381"/>
      <c r="CN15" s="381">
        <f>IF(EV15="NG",IF(CT9&lt;=5,IF(CT9=5,DI18-CX15-CV15-CT15-CR15-CP15,ROUNDDOWN(DI18/CY9,-2)),"－"),"")</f>
        <v>2300</v>
      </c>
      <c r="CO15" s="381"/>
      <c r="CP15" s="381">
        <f>IF(EV15="NG",IF(CT9&lt;=6,IF(CT9=6,DI18-CX15-CV15-CT15-CR15,ROUNDDOWN(DI18/CY9,-2)),"－"),"徴")</f>
        <v>2300</v>
      </c>
      <c r="CQ15" s="381"/>
      <c r="CR15" s="381">
        <f>IF(EV15="NG",IF(CT9&lt;=7,IF(CT9=7,DI18-CX15-CV15-CT15,ROUNDDOWN(DI18/CY9,-2)),"－"),"")</f>
        <v>2300</v>
      </c>
      <c r="CS15" s="381"/>
      <c r="CT15" s="381">
        <f>IF(EV15="NG",IF(CT9&lt;=8,IF(CT9=8,DI18-CX15-CV15,ROUNDDOWN(DI18/CY9,-2)),"－"),"収")</f>
        <v>2300</v>
      </c>
      <c r="CU15" s="381"/>
      <c r="CV15" s="381">
        <f>IF(EV15="NG",IF(CT9&lt;=9,IF(CT9=9,DI18-CX15,ROUNDDOWN(DI18/CY9,-2)),"－"),"")</f>
        <v>2300</v>
      </c>
      <c r="CW15" s="381"/>
      <c r="CX15" s="381">
        <f>IF(EV15="NG",IF(CT9&lt;=10,IF(CT9=10,DI18,ROUNDDOWN(DI18/CY9,-2)),"－"),"")</f>
        <v>2300</v>
      </c>
      <c r="CY15" s="381"/>
      <c r="CZ15" s="537">
        <f>IF(SUM(CF15:CY15)=0,"",SUM(CF15:CY15))</f>
        <v>23100</v>
      </c>
      <c r="DA15" s="537"/>
      <c r="DB15" s="538"/>
      <c r="DC15" s="35"/>
      <c r="DD15" s="130"/>
      <c r="DE15" s="21"/>
      <c r="DF15" s="382" t="s">
        <v>32</v>
      </c>
      <c r="DG15" s="382"/>
      <c r="DH15" s="382"/>
      <c r="DI15" s="363">
        <f>IF(CS59&gt;料率!E42,ROUNDDOWN(料率!E42*DK12/12,-2),ROUNDDOWN(CS59*DK12/12,-2))</f>
        <v>0</v>
      </c>
      <c r="DJ15" s="364"/>
      <c r="DK15" s="365"/>
      <c r="DL15" s="363">
        <f>IF(CS59&gt;料率!E42,ROUNDDOWN(料率!E42*DK12/12,0),ROUNDDOWN(CS59*DK12/12,0))</f>
        <v>0</v>
      </c>
      <c r="DM15" s="364"/>
      <c r="DN15" s="365"/>
      <c r="DO15" s="363">
        <f>FC67</f>
        <v>0</v>
      </c>
      <c r="DP15" s="364"/>
      <c r="DQ15" s="365"/>
      <c r="DR15" s="363">
        <f>DL15-DO15</f>
        <v>0</v>
      </c>
      <c r="DS15" s="364"/>
      <c r="DT15" s="365"/>
      <c r="DU15" s="363">
        <f>ROUNDDOWN(DR15,-2)</f>
        <v>0</v>
      </c>
      <c r="DV15" s="364"/>
      <c r="DW15" s="365"/>
      <c r="DX15" s="34"/>
      <c r="DY15" s="5"/>
      <c r="DZ15" s="4"/>
      <c r="EA15" s="22"/>
      <c r="EB15" s="37"/>
      <c r="EC15" s="4"/>
      <c r="ED15" s="4"/>
      <c r="EE15" s="4"/>
      <c r="EF15" s="4"/>
      <c r="EG15" s="4"/>
      <c r="EH15" s="4"/>
      <c r="EI15" s="4"/>
      <c r="EJ15" s="33"/>
      <c r="EK15" s="33"/>
      <c r="EL15" s="141"/>
      <c r="EM15" s="34"/>
      <c r="EN15" s="34"/>
      <c r="EO15" s="34"/>
      <c r="EP15" s="34"/>
      <c r="EQ15" s="34"/>
      <c r="ER15" s="34"/>
      <c r="ES15" s="34"/>
      <c r="ET15" s="34"/>
      <c r="EU15" s="34"/>
      <c r="EV15" s="348" t="str">
        <f>IF(AU11=DF4,"NG",IF(EV13=BB3,IF(EQ9=EV11,IF(EV11&gt;=180000,IF(EV17=FALSE,"OK","NG"),"NG"),"NG"),"NG"))</f>
        <v>NG</v>
      </c>
      <c r="EW15" s="349"/>
      <c r="EX15" s="349"/>
      <c r="EY15" s="350"/>
      <c r="EZ15" s="34"/>
      <c r="FA15" s="34"/>
      <c r="FB15" s="34"/>
      <c r="FC15" s="34"/>
      <c r="FD15" s="34"/>
      <c r="FE15" s="34"/>
      <c r="FF15" s="34"/>
      <c r="FG15" s="34"/>
      <c r="FH15" s="34"/>
      <c r="FI15" s="33"/>
      <c r="FJ15" s="33"/>
      <c r="FK15" s="33"/>
      <c r="FL15" s="33"/>
      <c r="FM15" s="4"/>
      <c r="FN15" s="10"/>
      <c r="FO15" s="5"/>
      <c r="FP15" s="5"/>
      <c r="FQ15" s="5"/>
      <c r="FR15" s="5"/>
      <c r="FS15" s="5"/>
      <c r="FT15" s="5"/>
      <c r="FU15" s="5"/>
      <c r="FV15" s="5"/>
      <c r="FW15" s="5"/>
      <c r="FX15" s="5"/>
      <c r="FY15" s="5"/>
      <c r="FZ15" s="5"/>
      <c r="GA15" s="5"/>
      <c r="GB15" s="5"/>
      <c r="GC15" s="5"/>
      <c r="GD15" s="5"/>
      <c r="GE15" s="5"/>
      <c r="GF15" s="5"/>
      <c r="GG15" s="5"/>
      <c r="GH15" s="5"/>
      <c r="GI15" s="5"/>
      <c r="GJ15" s="5"/>
    </row>
    <row r="16" spans="1:192" ht="13.8" customHeight="1">
      <c r="A16" s="104"/>
      <c r="B16" s="697" t="s">
        <v>3</v>
      </c>
      <c r="C16" s="698"/>
      <c r="D16" s="698"/>
      <c r="E16" s="698"/>
      <c r="F16" s="698"/>
      <c r="G16" s="698"/>
      <c r="H16" s="698"/>
      <c r="I16" s="698"/>
      <c r="J16" s="698"/>
      <c r="K16" s="698"/>
      <c r="L16" s="698"/>
      <c r="M16" s="699"/>
      <c r="N16" s="110"/>
      <c r="O16" s="696" t="s">
        <v>3</v>
      </c>
      <c r="P16" s="696"/>
      <c r="Q16" s="696"/>
      <c r="R16" s="696"/>
      <c r="S16" s="696"/>
      <c r="T16" s="696"/>
      <c r="U16" s="117"/>
      <c r="V16" s="117"/>
      <c r="W16" s="117"/>
      <c r="X16" s="117"/>
      <c r="Y16" s="117"/>
      <c r="Z16" s="117"/>
      <c r="AF16" s="117"/>
      <c r="AG16" s="117"/>
      <c r="AH16" s="117"/>
      <c r="AI16" s="117"/>
      <c r="AJ16" s="117"/>
      <c r="AQ16" s="170"/>
      <c r="AR16" s="436" t="s">
        <v>198</v>
      </c>
      <c r="AS16" s="436"/>
      <c r="AT16" s="436"/>
      <c r="AU16" s="483">
        <f>IF(AU12="６５歳以上",試算シート!I19,0)</f>
        <v>0</v>
      </c>
      <c r="AV16" s="484"/>
      <c r="AW16" s="484"/>
      <c r="AX16" s="484"/>
      <c r="AY16" s="485"/>
      <c r="AZ16" s="181"/>
      <c r="BA16" s="380">
        <f>IF(BA12="６５歳以上",試算シート!N19,0)</f>
        <v>0</v>
      </c>
      <c r="BB16" s="380"/>
      <c r="BC16" s="380"/>
      <c r="BD16" s="380"/>
      <c r="BE16" s="181"/>
      <c r="BF16" s="380">
        <f>IF(BF12="６５歳以上",試算シート!R19,0)</f>
        <v>0</v>
      </c>
      <c r="BG16" s="380"/>
      <c r="BH16" s="380"/>
      <c r="BI16" s="380"/>
      <c r="BJ16" s="181"/>
      <c r="BK16" s="380">
        <f>IF(BK12="６５歳以上",試算シート!V19,0)</f>
        <v>0</v>
      </c>
      <c r="BL16" s="380"/>
      <c r="BM16" s="380"/>
      <c r="BN16" s="380"/>
      <c r="BO16" s="181"/>
      <c r="BP16" s="380">
        <f>IF(BP12="６５歳以上",試算シート!Z19,0)</f>
        <v>0</v>
      </c>
      <c r="BQ16" s="380"/>
      <c r="BR16" s="380"/>
      <c r="BS16" s="380"/>
      <c r="BT16" s="181"/>
      <c r="BU16" s="476"/>
      <c r="BV16" s="476"/>
      <c r="BW16" s="476"/>
      <c r="BX16" s="476"/>
      <c r="BY16" s="170"/>
      <c r="BZ16" s="132"/>
      <c r="CB16" s="1"/>
      <c r="CC16" s="1"/>
      <c r="CD16" s="1"/>
      <c r="CE16" s="1"/>
      <c r="CF16" s="544" t="s">
        <v>43</v>
      </c>
      <c r="CG16" s="539"/>
      <c r="CH16" s="539" t="s">
        <v>44</v>
      </c>
      <c r="CI16" s="539"/>
      <c r="CJ16" s="539" t="s">
        <v>45</v>
      </c>
      <c r="CK16" s="539"/>
      <c r="CL16" s="539" t="s">
        <v>46</v>
      </c>
      <c r="CM16" s="539"/>
      <c r="CN16" s="539" t="s">
        <v>47</v>
      </c>
      <c r="CO16" s="539"/>
      <c r="CP16" s="539" t="s">
        <v>48</v>
      </c>
      <c r="CQ16" s="539"/>
      <c r="CR16" s="539" t="s">
        <v>49</v>
      </c>
      <c r="CS16" s="539"/>
      <c r="CT16" s="539" t="s">
        <v>50</v>
      </c>
      <c r="CU16" s="539"/>
      <c r="CV16" s="539" t="s">
        <v>51</v>
      </c>
      <c r="CW16" s="539"/>
      <c r="CX16" s="539" t="s">
        <v>52</v>
      </c>
      <c r="CY16" s="539"/>
      <c r="CZ16" s="542" t="s">
        <v>58</v>
      </c>
      <c r="DA16" s="542"/>
      <c r="DB16" s="543"/>
      <c r="DC16" s="43"/>
      <c r="DD16" s="130"/>
      <c r="DE16" s="21"/>
      <c r="DF16" s="382" t="s">
        <v>229</v>
      </c>
      <c r="DG16" s="382"/>
      <c r="DH16" s="382"/>
      <c r="DI16" s="363">
        <f>IF(CS37&gt;料率!E43,ROUNDDOWN(料率!E43*DK12/12,-2),ROUNDDOWN(CS37*DK12/12,-2))</f>
        <v>5800</v>
      </c>
      <c r="DJ16" s="364"/>
      <c r="DK16" s="365"/>
      <c r="DL16" s="363">
        <f>IF(CS37&gt;料率!E43,ROUNDDOWN(料率!E43*DK12/12,0),ROUNDDOWN(CS37*DK12/12,0))</f>
        <v>5820</v>
      </c>
      <c r="DM16" s="364"/>
      <c r="DN16" s="365"/>
      <c r="DO16" s="363">
        <f>FC45</f>
        <v>0</v>
      </c>
      <c r="DP16" s="364"/>
      <c r="DQ16" s="365"/>
      <c r="DR16" s="363">
        <f>DL16-DO16</f>
        <v>5820</v>
      </c>
      <c r="DS16" s="364"/>
      <c r="DT16" s="365"/>
      <c r="DU16" s="363">
        <f>ROUNDDOWN(DR16,-2)</f>
        <v>5800</v>
      </c>
      <c r="DV16" s="364"/>
      <c r="DW16" s="365"/>
      <c r="DX16" s="34"/>
      <c r="DY16" s="5"/>
      <c r="DZ16" s="4"/>
      <c r="EA16" s="22"/>
      <c r="EB16" s="22"/>
      <c r="EC16" s="4"/>
      <c r="ED16" s="4"/>
      <c r="EE16" s="4"/>
      <c r="EF16" s="4"/>
      <c r="EG16" s="4"/>
      <c r="EH16" s="4"/>
      <c r="EI16" s="4"/>
      <c r="EJ16" s="33"/>
      <c r="EK16" s="33"/>
      <c r="EL16" s="141"/>
      <c r="EM16" s="34"/>
      <c r="EN16" s="34"/>
      <c r="EO16" s="34"/>
      <c r="EP16" s="34"/>
      <c r="EQ16" s="34"/>
      <c r="ER16" s="34"/>
      <c r="ES16" s="34"/>
      <c r="ET16" s="34"/>
      <c r="EU16" s="34"/>
      <c r="EV16" s="34" t="s">
        <v>222</v>
      </c>
      <c r="EW16" s="34"/>
      <c r="EX16" s="34"/>
      <c r="EY16" s="34"/>
      <c r="EZ16" s="34"/>
      <c r="FA16" s="34" t="s">
        <v>246</v>
      </c>
      <c r="FB16" s="34"/>
      <c r="FC16" s="34"/>
      <c r="FD16" s="34"/>
      <c r="FE16" s="34"/>
      <c r="FF16" s="34"/>
      <c r="FG16" s="34"/>
      <c r="FH16" s="34"/>
      <c r="FI16" s="33"/>
      <c r="FJ16" s="33"/>
      <c r="FK16" s="33"/>
      <c r="FL16" s="33"/>
      <c r="FM16" s="4"/>
      <c r="FN16" s="10"/>
      <c r="FO16" s="5"/>
      <c r="FP16" s="5"/>
      <c r="FQ16" s="5"/>
      <c r="FR16" s="5"/>
      <c r="FS16" s="5"/>
      <c r="FT16" s="5"/>
      <c r="FU16" s="5"/>
      <c r="FV16" s="5"/>
      <c r="FW16" s="5"/>
      <c r="FX16" s="5"/>
      <c r="FY16" s="5"/>
      <c r="FZ16" s="5"/>
      <c r="GA16" s="5"/>
      <c r="GB16" s="5"/>
      <c r="GC16" s="5"/>
      <c r="GD16" s="5"/>
      <c r="GE16" s="5"/>
      <c r="GF16" s="5"/>
      <c r="GG16" s="5"/>
      <c r="GH16" s="5"/>
      <c r="GI16" s="5"/>
      <c r="GJ16" s="5"/>
    </row>
    <row r="17" spans="1:192" ht="13.8" customHeight="1">
      <c r="A17" s="110"/>
      <c r="B17" s="652" t="s">
        <v>1</v>
      </c>
      <c r="C17" s="653"/>
      <c r="D17" s="652" t="s">
        <v>2</v>
      </c>
      <c r="E17" s="653"/>
      <c r="F17" s="652" t="s">
        <v>5</v>
      </c>
      <c r="G17" s="653"/>
      <c r="H17" s="652" t="s">
        <v>6</v>
      </c>
      <c r="I17" s="653"/>
      <c r="J17" s="652" t="s">
        <v>7</v>
      </c>
      <c r="K17" s="653"/>
      <c r="L17" s="652" t="s">
        <v>8</v>
      </c>
      <c r="M17" s="653"/>
      <c r="N17" s="110"/>
      <c r="O17" s="449" t="s">
        <v>2</v>
      </c>
      <c r="P17" s="451"/>
      <c r="Q17" s="449" t="s">
        <v>6</v>
      </c>
      <c r="R17" s="451"/>
      <c r="S17" s="449" t="s">
        <v>8</v>
      </c>
      <c r="T17" s="451"/>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70"/>
      <c r="AR17" s="436" t="s">
        <v>20</v>
      </c>
      <c r="AS17" s="436"/>
      <c r="AT17" s="436"/>
      <c r="AU17" s="483">
        <f>試算シート!I20</f>
        <v>0</v>
      </c>
      <c r="AV17" s="484"/>
      <c r="AW17" s="484"/>
      <c r="AX17" s="484"/>
      <c r="AY17" s="485"/>
      <c r="AZ17" s="181"/>
      <c r="BA17" s="380">
        <f>試算シート!N20</f>
        <v>0</v>
      </c>
      <c r="BB17" s="380"/>
      <c r="BC17" s="380"/>
      <c r="BD17" s="380"/>
      <c r="BE17" s="181"/>
      <c r="BF17" s="380">
        <f>試算シート!R20</f>
        <v>0</v>
      </c>
      <c r="BG17" s="380"/>
      <c r="BH17" s="380"/>
      <c r="BI17" s="380"/>
      <c r="BJ17" s="181"/>
      <c r="BK17" s="380">
        <f>試算シート!V20</f>
        <v>0</v>
      </c>
      <c r="BL17" s="380"/>
      <c r="BM17" s="380"/>
      <c r="BN17" s="380"/>
      <c r="BO17" s="181"/>
      <c r="BP17" s="380">
        <f>試算シート!Z20</f>
        <v>0</v>
      </c>
      <c r="BQ17" s="380"/>
      <c r="BR17" s="380"/>
      <c r="BS17" s="380"/>
      <c r="BT17" s="181"/>
      <c r="BU17" s="476"/>
      <c r="BV17" s="476"/>
      <c r="BW17" s="476"/>
      <c r="BX17" s="476"/>
      <c r="BY17" s="170"/>
      <c r="BZ17" s="132"/>
      <c r="CB17" s="557" t="str">
        <f>IF(CH15="特","◎６５歳～７４歳のみで構成される世帯で、「年金額が１８０，０００円以上」かつ「国民健康保険料と介護保険料を足した額が年金額の２分の１以下」の場合は、特別徴収（年金からの天引き）になります。","              納付には口座振替が便利です。ご利用ください。")</f>
        <v xml:space="preserve">              納付には口座振替が便利です。ご利用ください。</v>
      </c>
      <c r="CC17" s="557"/>
      <c r="CD17" s="557"/>
      <c r="CE17" s="557"/>
      <c r="CF17" s="557"/>
      <c r="CG17" s="557"/>
      <c r="CH17" s="557"/>
      <c r="CI17" s="557"/>
      <c r="CJ17" s="557"/>
      <c r="CK17" s="557"/>
      <c r="CL17" s="557"/>
      <c r="CM17" s="557"/>
      <c r="CN17" s="557"/>
      <c r="CO17" s="557"/>
      <c r="CP17" s="557"/>
      <c r="CQ17" s="557"/>
      <c r="CR17" s="557"/>
      <c r="CS17" s="557"/>
      <c r="CT17" s="557"/>
      <c r="CU17" s="557"/>
      <c r="CV17" s="557"/>
      <c r="CW17" s="557"/>
      <c r="CX17" s="557"/>
      <c r="CY17" s="557"/>
      <c r="CZ17" s="557"/>
      <c r="DA17" s="557"/>
      <c r="DB17" s="557"/>
      <c r="DC17" s="1"/>
      <c r="DD17" s="3" t="s">
        <v>214</v>
      </c>
      <c r="DE17" s="21"/>
      <c r="DF17" s="382" t="s">
        <v>230</v>
      </c>
      <c r="DG17" s="382"/>
      <c r="DH17" s="382"/>
      <c r="DI17" s="363">
        <f>IF(CS48&gt;料率!E44,ROUNDDOWN(料率!E44*DK12/12,-2),ROUNDDOWN(CS48*DK12/12,-2))</f>
        <v>0</v>
      </c>
      <c r="DJ17" s="364"/>
      <c r="DK17" s="365"/>
      <c r="DL17" s="363">
        <f>IF(CS48&gt;料率!E44,ROUNDDOWN(料率!E44*DK12/12,0),ROUNDDOWN(CS48*DK12/12,0))</f>
        <v>0</v>
      </c>
      <c r="DM17" s="364"/>
      <c r="DN17" s="365"/>
      <c r="DO17" s="363">
        <f>FC56</f>
        <v>0</v>
      </c>
      <c r="DP17" s="364"/>
      <c r="DQ17" s="365"/>
      <c r="DR17" s="363">
        <f>DL17-DO17</f>
        <v>0</v>
      </c>
      <c r="DS17" s="364"/>
      <c r="DT17" s="365"/>
      <c r="DU17" s="363">
        <f>ROUNDDOWN(DR17,-2)</f>
        <v>0</v>
      </c>
      <c r="DV17" s="364"/>
      <c r="DW17" s="365"/>
      <c r="DX17" s="5"/>
      <c r="DY17" s="5"/>
      <c r="DZ17" s="4"/>
      <c r="EA17" s="22"/>
      <c r="EB17" s="22"/>
      <c r="EC17" s="4"/>
      <c r="ED17" s="4"/>
      <c r="EE17" s="4"/>
      <c r="EF17" s="4"/>
      <c r="EG17" s="4"/>
      <c r="EH17" s="4"/>
      <c r="EI17" s="4"/>
      <c r="EJ17" s="33"/>
      <c r="EK17" s="33"/>
      <c r="EL17" s="141"/>
      <c r="EM17" s="34"/>
      <c r="EN17" s="34"/>
      <c r="EO17" s="34"/>
      <c r="EP17" s="34"/>
      <c r="EQ17" s="34"/>
      <c r="ER17" s="34"/>
      <c r="ES17" s="34"/>
      <c r="ET17" s="34"/>
      <c r="EU17" s="34"/>
      <c r="EV17" s="348" t="b">
        <v>1</v>
      </c>
      <c r="EW17" s="349"/>
      <c r="EX17" s="349"/>
      <c r="EY17" s="350"/>
      <c r="EZ17" s="34"/>
      <c r="FA17" s="348" t="b">
        <v>0</v>
      </c>
      <c r="FB17" s="349"/>
      <c r="FC17" s="349"/>
      <c r="FD17" s="350"/>
      <c r="FE17" s="34"/>
      <c r="FF17" s="34"/>
      <c r="FG17" s="34"/>
      <c r="FH17" s="34"/>
      <c r="FI17" s="33"/>
      <c r="FJ17" s="33"/>
      <c r="FK17" s="33"/>
      <c r="FL17" s="33"/>
      <c r="FM17" s="4"/>
      <c r="FN17" s="10"/>
      <c r="FO17" s="5"/>
      <c r="FP17" s="5"/>
      <c r="FQ17" s="5"/>
      <c r="FR17" s="5"/>
      <c r="FS17" s="5"/>
      <c r="FT17" s="5"/>
      <c r="FU17" s="5"/>
      <c r="FV17" s="5"/>
      <c r="FW17" s="5"/>
      <c r="FX17" s="5"/>
      <c r="FY17" s="5"/>
      <c r="FZ17" s="5"/>
      <c r="GA17" s="5"/>
      <c r="GB17" s="5"/>
      <c r="GC17" s="5"/>
      <c r="GD17" s="5"/>
      <c r="GE17" s="5"/>
      <c r="GF17" s="5"/>
      <c r="GG17" s="5"/>
      <c r="GH17" s="5"/>
      <c r="GI17" s="5"/>
      <c r="GJ17" s="5"/>
    </row>
    <row r="18" spans="1:192" ht="13.8" customHeight="1">
      <c r="A18" s="104"/>
      <c r="B18" s="670">
        <v>-24570</v>
      </c>
      <c r="C18" s="671"/>
      <c r="D18" s="670">
        <v>-15820</v>
      </c>
      <c r="E18" s="671"/>
      <c r="F18" s="670">
        <v>-17550</v>
      </c>
      <c r="G18" s="671"/>
      <c r="H18" s="670">
        <v>-11300</v>
      </c>
      <c r="I18" s="671"/>
      <c r="J18" s="670">
        <v>-7020</v>
      </c>
      <c r="K18" s="671"/>
      <c r="L18" s="670">
        <v>-4520</v>
      </c>
      <c r="M18" s="671"/>
      <c r="N18" s="104"/>
      <c r="O18" s="670">
        <v>-7910</v>
      </c>
      <c r="P18" s="671"/>
      <c r="Q18" s="670">
        <v>-5650</v>
      </c>
      <c r="R18" s="671"/>
      <c r="S18" s="670">
        <v>-2260</v>
      </c>
      <c r="T18" s="671"/>
      <c r="AQ18" s="170"/>
      <c r="AR18" s="495" t="s">
        <v>23</v>
      </c>
      <c r="AS18" s="495"/>
      <c r="AT18" s="496"/>
      <c r="AU18" s="419">
        <f>SUM(AU14:AU17)</f>
        <v>0</v>
      </c>
      <c r="AV18" s="419"/>
      <c r="AW18" s="419"/>
      <c r="AX18" s="419"/>
      <c r="AY18" s="419"/>
      <c r="AZ18" s="181"/>
      <c r="BA18" s="419">
        <f>SUM(BA14:BA17)</f>
        <v>0</v>
      </c>
      <c r="BB18" s="419"/>
      <c r="BC18" s="419"/>
      <c r="BD18" s="419"/>
      <c r="BE18" s="181"/>
      <c r="BF18" s="419">
        <f>SUM(BF14:BF17)</f>
        <v>0</v>
      </c>
      <c r="BG18" s="419"/>
      <c r="BH18" s="419"/>
      <c r="BI18" s="419"/>
      <c r="BJ18" s="181"/>
      <c r="BK18" s="419">
        <f>SUM(BK14:BK17)</f>
        <v>0</v>
      </c>
      <c r="BL18" s="419"/>
      <c r="BM18" s="419"/>
      <c r="BN18" s="419"/>
      <c r="BO18" s="181"/>
      <c r="BP18" s="419">
        <f>SUM(BP14:BP17)</f>
        <v>0</v>
      </c>
      <c r="BQ18" s="419"/>
      <c r="BR18" s="419"/>
      <c r="BS18" s="419"/>
      <c r="BT18" s="181"/>
      <c r="BU18" s="419">
        <f>SUM(BU14:BU17)</f>
        <v>0</v>
      </c>
      <c r="BV18" s="419"/>
      <c r="BW18" s="419"/>
      <c r="BX18" s="419"/>
      <c r="BY18" s="170"/>
      <c r="BZ18" s="132"/>
      <c r="CB18" s="557"/>
      <c r="CC18" s="557"/>
      <c r="CD18" s="557"/>
      <c r="CE18" s="557"/>
      <c r="CF18" s="557"/>
      <c r="CG18" s="557"/>
      <c r="CH18" s="557"/>
      <c r="CI18" s="557"/>
      <c r="CJ18" s="557"/>
      <c r="CK18" s="557"/>
      <c r="CL18" s="557"/>
      <c r="CM18" s="557"/>
      <c r="CN18" s="557"/>
      <c r="CO18" s="557"/>
      <c r="CP18" s="557"/>
      <c r="CQ18" s="557"/>
      <c r="CR18" s="557"/>
      <c r="CS18" s="557"/>
      <c r="CT18" s="557"/>
      <c r="CU18" s="557"/>
      <c r="CV18" s="557"/>
      <c r="CW18" s="557"/>
      <c r="CX18" s="557"/>
      <c r="CY18" s="557"/>
      <c r="CZ18" s="557"/>
      <c r="DA18" s="557"/>
      <c r="DB18" s="557"/>
      <c r="DC18" s="1"/>
      <c r="DD18" s="130"/>
      <c r="DE18" s="21"/>
      <c r="DF18" s="382" t="s">
        <v>28</v>
      </c>
      <c r="DG18" s="382"/>
      <c r="DH18" s="382"/>
      <c r="DI18" s="363">
        <f>SUM(DI14:DK17)</f>
        <v>23100</v>
      </c>
      <c r="DJ18" s="366"/>
      <c r="DK18" s="367"/>
      <c r="DL18" s="363">
        <f>SUM(DL14:DN17)</f>
        <v>23130</v>
      </c>
      <c r="DM18" s="366"/>
      <c r="DN18" s="367"/>
      <c r="DO18" s="363">
        <f>SUM(DO14:DQ17)</f>
        <v>0</v>
      </c>
      <c r="DP18" s="366"/>
      <c r="DQ18" s="367"/>
      <c r="DR18" s="363">
        <f t="shared" ref="DR18" si="0">SUM(DR14:DT17)</f>
        <v>23130</v>
      </c>
      <c r="DS18" s="366"/>
      <c r="DT18" s="367"/>
      <c r="DU18" s="363">
        <f t="shared" ref="DU18" si="1">SUM(DU14:DW17)</f>
        <v>23100</v>
      </c>
      <c r="DV18" s="366"/>
      <c r="DW18" s="367"/>
      <c r="DX18" s="5"/>
      <c r="DY18" s="5"/>
      <c r="DZ18" s="4"/>
      <c r="EA18" s="22"/>
      <c r="EB18" s="22"/>
      <c r="EC18" s="4"/>
      <c r="ED18" s="4"/>
      <c r="EE18" s="4"/>
      <c r="EF18" s="4"/>
      <c r="EG18" s="4"/>
      <c r="EH18" s="4"/>
      <c r="EI18" s="4"/>
      <c r="EJ18" s="33"/>
      <c r="EK18" s="33"/>
      <c r="EL18" s="141"/>
      <c r="EM18" s="34"/>
      <c r="EN18" s="34"/>
      <c r="EO18" s="34"/>
      <c r="EP18" s="34"/>
      <c r="EQ18" s="34"/>
      <c r="ER18" s="34"/>
      <c r="ES18" s="34"/>
      <c r="ET18" s="34"/>
      <c r="EU18" s="34"/>
      <c r="EV18" s="34"/>
      <c r="EW18" s="34"/>
      <c r="EX18" s="34"/>
      <c r="EY18" s="34"/>
      <c r="EZ18" s="34"/>
      <c r="FA18" s="34"/>
      <c r="FB18" s="34"/>
      <c r="FC18" s="34"/>
      <c r="FD18" s="34"/>
      <c r="FE18" s="34"/>
      <c r="FF18" s="34"/>
      <c r="FG18" s="34"/>
      <c r="FH18" s="34"/>
      <c r="FI18" s="33"/>
      <c r="FJ18" s="33"/>
      <c r="FK18" s="33"/>
      <c r="FL18" s="33"/>
      <c r="FM18" s="4"/>
      <c r="FN18" s="10"/>
      <c r="FO18" s="5"/>
      <c r="FP18" s="5"/>
      <c r="FQ18" s="5"/>
      <c r="FR18" s="5"/>
      <c r="FS18" s="5"/>
      <c r="FT18" s="5"/>
      <c r="FU18" s="5"/>
      <c r="FV18" s="5"/>
      <c r="FW18" s="5"/>
      <c r="FX18" s="5"/>
      <c r="FY18" s="5"/>
      <c r="FZ18" s="5"/>
      <c r="GA18" s="5"/>
      <c r="GB18" s="5"/>
      <c r="GC18" s="5"/>
      <c r="GD18" s="5"/>
      <c r="GE18" s="5"/>
      <c r="GF18" s="5"/>
      <c r="GG18" s="5"/>
      <c r="GH18" s="5"/>
      <c r="GI18" s="5"/>
      <c r="GJ18" s="5"/>
    </row>
    <row r="19" spans="1:192" ht="13.8" customHeight="1">
      <c r="A19" s="104"/>
      <c r="B19" s="118"/>
      <c r="C19" s="118"/>
      <c r="D19" s="118"/>
      <c r="E19" s="118"/>
      <c r="F19" s="118"/>
      <c r="G19" s="118"/>
      <c r="H19" s="118"/>
      <c r="I19" s="118"/>
      <c r="J19" s="118"/>
      <c r="K19" s="118"/>
      <c r="L19" s="118"/>
      <c r="M19" s="118"/>
      <c r="N19" s="104"/>
      <c r="AQ19" s="170"/>
      <c r="AR19" s="500" t="s">
        <v>130</v>
      </c>
      <c r="AS19" s="500"/>
      <c r="AT19" s="500"/>
      <c r="AU19" s="492" t="str">
        <f>IF(AU14&gt;0,"あり",IF(AU15&gt;0,"あり",IF(AU16&gt;0,"あり","")))</f>
        <v/>
      </c>
      <c r="AV19" s="493"/>
      <c r="AW19" s="493"/>
      <c r="AX19" s="493"/>
      <c r="AY19" s="494"/>
      <c r="AZ19" s="198"/>
      <c r="BA19" s="418" t="str">
        <f>_xlfn.IFS(BA11=$DM$6,"",BA14&gt;0,"あり",BA15&gt;0,"あり",BA16&gt;0,"あり",SUM(BA14:BD16)=0,"")</f>
        <v/>
      </c>
      <c r="BB19" s="418"/>
      <c r="BC19" s="418"/>
      <c r="BD19" s="418"/>
      <c r="BE19" s="198"/>
      <c r="BF19" s="418" t="str">
        <f>_xlfn.IFS(BF11=$DM$6,"",BF14&gt;0,"あり",BF15&gt;0,"あり",BF16&gt;0,"あり",SUM(BF14:BI16)=0,"")</f>
        <v/>
      </c>
      <c r="BG19" s="418"/>
      <c r="BH19" s="418"/>
      <c r="BI19" s="418"/>
      <c r="BJ19" s="199"/>
      <c r="BK19" s="418" t="str">
        <f>_xlfn.IFS(BK11=$DM$6,"",BK14&gt;0,"あり",BK15&gt;0,"あり",BK16&gt;0,"あり",SUM(BK14:BN16)=0,"")</f>
        <v/>
      </c>
      <c r="BL19" s="418"/>
      <c r="BM19" s="418"/>
      <c r="BN19" s="418"/>
      <c r="BO19" s="199"/>
      <c r="BP19" s="418" t="str">
        <f>_xlfn.IFS(BP11=$DM$6,"",BP14&gt;0,"あり",BP15&gt;0,"あり",BP16&gt;0,"あり",SUM(BP14:BS16)=0,"")</f>
        <v/>
      </c>
      <c r="BQ19" s="418"/>
      <c r="BR19" s="418"/>
      <c r="BS19" s="418"/>
      <c r="BT19" s="199"/>
      <c r="BU19" s="418" t="str">
        <f>_xlfn.IFS(BU11=$DM$6,"",BU14&gt;0,"あり",BU15&gt;0,"あり",BU16&gt;0,"あり",SUM(BU14:BX16)=0,"")</f>
        <v/>
      </c>
      <c r="BV19" s="418"/>
      <c r="BW19" s="418"/>
      <c r="BX19" s="418"/>
      <c r="BY19" s="170"/>
      <c r="BZ19" s="132"/>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D19" s="132"/>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3"/>
      <c r="FM19" s="4"/>
      <c r="FN19" s="10"/>
      <c r="FO19" s="5"/>
      <c r="FP19" s="5"/>
      <c r="FQ19" s="5"/>
      <c r="FR19" s="5"/>
      <c r="FS19" s="5"/>
      <c r="FT19" s="5"/>
      <c r="FU19" s="5"/>
      <c r="FV19" s="5"/>
      <c r="FW19" s="5"/>
      <c r="FX19" s="5"/>
      <c r="FY19" s="5"/>
      <c r="FZ19" s="5"/>
      <c r="GA19" s="5"/>
      <c r="GB19" s="5"/>
      <c r="GC19" s="5"/>
      <c r="GD19" s="5"/>
      <c r="GE19" s="5"/>
      <c r="GF19" s="5"/>
      <c r="GG19" s="5"/>
      <c r="GH19" s="5"/>
      <c r="GI19" s="5"/>
      <c r="GJ19" s="5"/>
    </row>
    <row r="20" spans="1:192" ht="13.8" customHeight="1">
      <c r="A20" s="104"/>
      <c r="B20" s="683" t="s">
        <v>4</v>
      </c>
      <c r="C20" s="692"/>
      <c r="D20" s="692"/>
      <c r="E20" s="692"/>
      <c r="F20" s="692"/>
      <c r="G20" s="692"/>
      <c r="H20" s="692"/>
      <c r="I20" s="692"/>
      <c r="J20" s="692"/>
      <c r="K20" s="692"/>
      <c r="L20" s="692"/>
      <c r="M20" s="684"/>
      <c r="N20" s="104"/>
      <c r="AQ20" s="170"/>
      <c r="AR20" s="500"/>
      <c r="AS20" s="500"/>
      <c r="AT20" s="500"/>
      <c r="AU20" s="170"/>
      <c r="AV20" s="170"/>
      <c r="AW20" s="170"/>
      <c r="AX20" s="170"/>
      <c r="AY20" s="170"/>
      <c r="AZ20" s="170"/>
      <c r="BA20" s="170"/>
      <c r="BB20" s="170"/>
      <c r="BC20" s="170"/>
      <c r="BD20" s="170"/>
      <c r="BE20" s="170"/>
      <c r="BF20" s="170"/>
      <c r="BG20" s="170"/>
      <c r="BH20" s="170"/>
      <c r="BI20" s="170"/>
      <c r="BJ20" s="170"/>
      <c r="BK20" s="170"/>
      <c r="BL20" s="170"/>
      <c r="BM20" s="170"/>
      <c r="BN20" s="170"/>
      <c r="BO20" s="170"/>
      <c r="BP20" s="170"/>
      <c r="BQ20" s="170"/>
      <c r="BR20" s="170"/>
      <c r="BS20" s="170"/>
      <c r="BT20" s="170"/>
      <c r="BU20" s="170"/>
      <c r="BV20" s="170"/>
      <c r="BW20" s="170"/>
      <c r="BX20" s="170"/>
      <c r="BY20" s="170"/>
      <c r="BZ20" s="132"/>
      <c r="CB20" s="96" t="s">
        <v>147</v>
      </c>
      <c r="CD20" s="15"/>
      <c r="CE20" s="15"/>
      <c r="CF20" s="15"/>
      <c r="CG20" s="15"/>
      <c r="CH20" s="15"/>
      <c r="DD20" s="132"/>
      <c r="DE20" s="21"/>
      <c r="DF20" s="46" t="s">
        <v>170</v>
      </c>
      <c r="DG20" s="5"/>
      <c r="DH20" s="5"/>
      <c r="DI20" s="5"/>
      <c r="DJ20" s="5"/>
      <c r="DK20" s="103" t="s">
        <v>248</v>
      </c>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33"/>
      <c r="EL20" s="141"/>
      <c r="EM20" s="34"/>
      <c r="EN20" s="34"/>
      <c r="EO20" s="34"/>
      <c r="EP20" s="34"/>
      <c r="EQ20" s="34"/>
      <c r="ER20" s="34"/>
      <c r="ES20" s="5"/>
      <c r="ET20" s="5"/>
      <c r="EU20" s="5"/>
      <c r="EV20" s="5"/>
      <c r="EW20" s="5"/>
      <c r="EX20" s="5"/>
      <c r="EY20" s="5"/>
      <c r="EZ20" s="5"/>
      <c r="FA20" s="5"/>
      <c r="FB20" s="5"/>
      <c r="FC20" s="5"/>
      <c r="FD20" s="5"/>
      <c r="FE20" s="5"/>
      <c r="FF20" s="5"/>
      <c r="FG20" s="5"/>
      <c r="FH20" s="5"/>
      <c r="FI20" s="4"/>
      <c r="FJ20" s="4"/>
      <c r="FK20" s="4"/>
      <c r="FL20" s="4"/>
      <c r="FM20" s="4"/>
      <c r="FN20" s="10"/>
      <c r="FO20" s="5"/>
      <c r="FP20" s="5"/>
      <c r="FQ20" s="5"/>
      <c r="FR20" s="5"/>
      <c r="FS20" s="5"/>
      <c r="FT20" s="5"/>
      <c r="FU20" s="5"/>
      <c r="FV20" s="5"/>
      <c r="FW20" s="5"/>
      <c r="FX20" s="5"/>
      <c r="FY20" s="5"/>
      <c r="FZ20" s="5"/>
      <c r="GA20" s="5"/>
      <c r="GB20" s="5"/>
      <c r="GC20" s="5"/>
      <c r="GD20" s="5"/>
      <c r="GE20" s="5"/>
      <c r="GF20" s="5"/>
      <c r="GG20" s="5"/>
      <c r="GH20" s="5"/>
      <c r="GI20" s="5"/>
      <c r="GJ20" s="5"/>
    </row>
    <row r="21" spans="1:192" ht="13.8" customHeight="1">
      <c r="A21" s="110"/>
      <c r="B21" s="683" t="s">
        <v>1</v>
      </c>
      <c r="C21" s="684"/>
      <c r="D21" s="683" t="s">
        <v>2</v>
      </c>
      <c r="E21" s="684"/>
      <c r="F21" s="683" t="s">
        <v>5</v>
      </c>
      <c r="G21" s="684"/>
      <c r="H21" s="683" t="s">
        <v>6</v>
      </c>
      <c r="I21" s="684"/>
      <c r="J21" s="683" t="s">
        <v>7</v>
      </c>
      <c r="K21" s="684"/>
      <c r="L21" s="683" t="s">
        <v>8</v>
      </c>
      <c r="M21" s="684"/>
      <c r="N21" s="110"/>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70"/>
      <c r="AR21" s="503" t="str">
        <f>IF(AU12=DT8,IF(AU15&gt;0,"年金の入力場所が違うよ、ただし当該年の１月１日が６４歳であればそのままでOK！",""),IF(AU12=DT7,IF(AU16&gt;0,"年金の入力場所が違うよ",""),""))</f>
        <v/>
      </c>
      <c r="AS21" s="503"/>
      <c r="AT21" s="503"/>
      <c r="AU21" s="503"/>
      <c r="AV21" s="503"/>
      <c r="AW21" s="503"/>
      <c r="AX21" s="503"/>
      <c r="AY21" s="503"/>
      <c r="AZ21" s="106"/>
      <c r="BA21" s="509" t="str">
        <f>IF(BA12=DT8,IF(BA15&gt;0,"年金の入力場所が違うよ、ただし、当該年の１月１日が６４歳であればそのままでOK！",""),IF(BA12=DT7,IF(BA16&gt;0,"年金の入力場所が違うよ",""),""))</f>
        <v/>
      </c>
      <c r="BB21" s="509"/>
      <c r="BC21" s="509"/>
      <c r="BD21" s="509"/>
      <c r="BE21" s="106"/>
      <c r="BF21" s="510" t="str">
        <f>IF(BF12=DT8,IF(BF15&gt;0,"年金の入力場所が違うよ、ただし、当該年の１月１日が６４歳であればそのままでOK！",""),IF(BF12=DT7,IF(BF16&gt;0,"年金の入力場所が違うよ",""),""))</f>
        <v/>
      </c>
      <c r="BG21" s="510"/>
      <c r="BH21" s="510"/>
      <c r="BI21" s="510"/>
      <c r="BJ21" s="170"/>
      <c r="BK21" s="509" t="str">
        <f>IF(BK12=DT8,IF(BK15&gt;0,"年金の入力場所が違うよ、ただし、当該年の１月１日が６４歳であればそのままでOK！",""),IF(BK12=DT7,IF(BK16&gt;0,"年金の入力場所が違うよ",""),""))</f>
        <v/>
      </c>
      <c r="BL21" s="509"/>
      <c r="BM21" s="509"/>
      <c r="BN21" s="509"/>
      <c r="BO21" s="106"/>
      <c r="BP21" s="509" t="str">
        <f>IF(BP12=DT8,IF(BP15&gt;0,"年金の入力場所が違うよ、ただし、当該年の１月１日が６４歳であればそのままでOK！",""),IF(BP12=DT7,IF(BP16&gt;0,"年金の入力場所が違うよ",""),""))</f>
        <v/>
      </c>
      <c r="BQ21" s="509"/>
      <c r="BR21" s="509"/>
      <c r="BS21" s="509"/>
      <c r="BT21" s="125"/>
      <c r="BU21" s="510" t="str">
        <f>IF(BU12=DT8,IF(BU15&gt;0,"年金の入力場所が違うよ、ただし、当該年の１月１日が６４歳であればそのままでOK！",""),IF(BU12=DT7,IF(BU16&gt;0,"年金の入力場所が違うよ",""),""))</f>
        <v/>
      </c>
      <c r="BV21" s="510"/>
      <c r="BW21" s="510"/>
      <c r="BX21" s="510"/>
      <c r="BY21" s="170"/>
      <c r="BZ21" s="132"/>
      <c r="CB21" s="504" t="s">
        <v>62</v>
      </c>
      <c r="CC21" s="505"/>
      <c r="CD21" s="506"/>
      <c r="CE21" s="507">
        <f>BB3</f>
        <v>1</v>
      </c>
      <c r="CF21" s="508"/>
      <c r="CI21" s="144" t="str">
        <f>IF(AU11=DF3,DF3,"擬制世帯主")&amp;"所得"</f>
        <v>世帯主所得</v>
      </c>
      <c r="CJ21" s="528">
        <f>EQ3</f>
        <v>0</v>
      </c>
      <c r="CK21" s="529"/>
      <c r="CL21" s="529"/>
      <c r="CM21" s="530"/>
      <c r="CN21" s="21"/>
      <c r="CP21" s="144" t="s">
        <v>209</v>
      </c>
      <c r="CQ21" s="528" t="str">
        <f>IF(BK11="被保険者",EQ6,"")</f>
        <v/>
      </c>
      <c r="CR21" s="529"/>
      <c r="CS21" s="529"/>
      <c r="CT21" s="530"/>
      <c r="CU21" s="531" t="s">
        <v>73</v>
      </c>
      <c r="CV21" s="532"/>
      <c r="CW21" s="532"/>
      <c r="CX21" s="533"/>
      <c r="CY21" s="534">
        <f>EL9</f>
        <v>0</v>
      </c>
      <c r="CZ21" s="535"/>
      <c r="DA21" s="535"/>
      <c r="DB21" s="536"/>
      <c r="DD21" s="132"/>
      <c r="DF21" s="182" t="s">
        <v>204</v>
      </c>
      <c r="DG21" s="183"/>
      <c r="DH21" s="183"/>
      <c r="DI21" s="183"/>
      <c r="DJ21" s="183"/>
      <c r="DK21" s="183"/>
      <c r="DL21" s="5"/>
      <c r="DM21" s="139" t="s">
        <v>129</v>
      </c>
      <c r="DN21" s="34"/>
      <c r="DO21" s="34"/>
      <c r="DP21" s="34"/>
      <c r="DQ21" s="34"/>
      <c r="DR21" s="34"/>
      <c r="DS21" s="5"/>
      <c r="DT21" s="5"/>
      <c r="DU21" s="5"/>
      <c r="DV21" s="5"/>
      <c r="DW21" s="5"/>
      <c r="DX21" s="5"/>
      <c r="DY21" s="5"/>
      <c r="DZ21" s="5"/>
      <c r="EA21" s="5"/>
      <c r="EB21" s="5"/>
      <c r="EC21" s="5"/>
      <c r="ED21" s="5"/>
      <c r="EE21" s="5"/>
      <c r="EF21" s="5"/>
      <c r="EG21" s="5"/>
      <c r="EH21" s="5"/>
      <c r="EI21" s="5"/>
      <c r="EJ21" s="5"/>
      <c r="EK21" s="34"/>
      <c r="EL21" s="34"/>
      <c r="EM21" s="34"/>
      <c r="EN21" s="34"/>
      <c r="EO21" s="34"/>
      <c r="EP21" s="34"/>
      <c r="EQ21" s="34"/>
      <c r="ER21" s="34"/>
      <c r="ES21" s="5"/>
      <c r="ET21" s="5"/>
      <c r="EU21" s="5"/>
      <c r="EV21" s="5"/>
      <c r="EW21" s="5"/>
      <c r="EX21" s="5"/>
      <c r="EY21" s="5"/>
      <c r="EZ21" s="5"/>
      <c r="FA21" s="5"/>
      <c r="FB21" s="5"/>
      <c r="FC21" s="5"/>
      <c r="FD21" s="5"/>
      <c r="FE21" s="5"/>
      <c r="FF21" s="5"/>
      <c r="FG21" s="5"/>
      <c r="FH21" s="5"/>
      <c r="FI21" s="4"/>
      <c r="FJ21" s="4"/>
      <c r="FK21" s="4"/>
      <c r="FL21" s="4"/>
      <c r="FM21" s="4"/>
      <c r="FN21" s="10"/>
      <c r="FO21" s="5"/>
      <c r="FP21" s="5"/>
      <c r="FQ21" s="5"/>
      <c r="FR21" s="5"/>
      <c r="FS21" s="5"/>
      <c r="FT21" s="5"/>
      <c r="FU21" s="5"/>
      <c r="FV21" s="5"/>
      <c r="FW21" s="5"/>
      <c r="FX21" s="5"/>
      <c r="FY21" s="5"/>
      <c r="FZ21" s="5"/>
      <c r="GA21" s="5"/>
      <c r="GB21" s="5"/>
      <c r="GC21" s="5"/>
      <c r="GD21" s="5"/>
      <c r="GE21" s="5"/>
      <c r="GF21" s="5"/>
      <c r="GG21" s="5"/>
      <c r="GH21" s="5"/>
      <c r="GI21" s="5"/>
      <c r="GJ21" s="5"/>
    </row>
    <row r="22" spans="1:192" ht="13.8" customHeight="1" thickBot="1">
      <c r="A22" s="104"/>
      <c r="B22" s="685">
        <v>-8470</v>
      </c>
      <c r="C22" s="686"/>
      <c r="D22" s="685">
        <v>-4060</v>
      </c>
      <c r="E22" s="686"/>
      <c r="F22" s="685">
        <v>-6050</v>
      </c>
      <c r="G22" s="686"/>
      <c r="H22" s="685">
        <v>-2900</v>
      </c>
      <c r="I22" s="686"/>
      <c r="J22" s="685">
        <v>-2420</v>
      </c>
      <c r="K22" s="686"/>
      <c r="L22" s="685">
        <v>-1160</v>
      </c>
      <c r="M22" s="686"/>
      <c r="N22" s="104"/>
      <c r="AQ22" s="170"/>
      <c r="AR22" s="503"/>
      <c r="AS22" s="503"/>
      <c r="AT22" s="503"/>
      <c r="AU22" s="503"/>
      <c r="AV22" s="503"/>
      <c r="AW22" s="503"/>
      <c r="AX22" s="503"/>
      <c r="AY22" s="503"/>
      <c r="BA22" s="509"/>
      <c r="BB22" s="509"/>
      <c r="BC22" s="509"/>
      <c r="BD22" s="509"/>
      <c r="BF22" s="510"/>
      <c r="BG22" s="510"/>
      <c r="BH22" s="510"/>
      <c r="BI22" s="510"/>
      <c r="BK22" s="509"/>
      <c r="BL22" s="509"/>
      <c r="BM22" s="509"/>
      <c r="BN22" s="509"/>
      <c r="BP22" s="509"/>
      <c r="BQ22" s="509"/>
      <c r="BR22" s="509"/>
      <c r="BS22" s="509"/>
      <c r="BU22" s="510"/>
      <c r="BV22" s="510"/>
      <c r="BW22" s="510"/>
      <c r="BX22" s="510"/>
      <c r="BZ22" s="132"/>
      <c r="CB22" s="504" t="s">
        <v>160</v>
      </c>
      <c r="CC22" s="505"/>
      <c r="CD22" s="506"/>
      <c r="CE22" s="545">
        <f>BB5</f>
        <v>0</v>
      </c>
      <c r="CF22" s="546"/>
      <c r="CI22" s="144" t="s">
        <v>252</v>
      </c>
      <c r="CJ22" s="528" t="str">
        <f>IF(BA11="被保険者",EQ4,"")</f>
        <v/>
      </c>
      <c r="CK22" s="529"/>
      <c r="CL22" s="529"/>
      <c r="CM22" s="530"/>
      <c r="CN22" s="21"/>
      <c r="CP22" s="144" t="s">
        <v>207</v>
      </c>
      <c r="CQ22" s="528" t="str">
        <f>IF(BP11="被保険者",EQ7,"")</f>
        <v/>
      </c>
      <c r="CR22" s="529"/>
      <c r="CS22" s="529"/>
      <c r="CT22" s="530"/>
      <c r="CV22" s="21"/>
      <c r="CY22" s="547" t="str">
        <f>BO3</f>
        <v>７割軽減</v>
      </c>
      <c r="CZ22" s="547"/>
      <c r="DA22" s="547"/>
      <c r="DB22" s="547"/>
      <c r="DD22" s="3" t="s">
        <v>217</v>
      </c>
      <c r="DF22" s="382" t="s">
        <v>9</v>
      </c>
      <c r="DG22" s="382"/>
      <c r="DH22" s="354">
        <f>料率!E34</f>
        <v>430000</v>
      </c>
      <c r="DI22" s="355"/>
      <c r="DJ22" s="355"/>
      <c r="DK22" s="356"/>
      <c r="DL22" s="5"/>
      <c r="DM22" s="359" t="s">
        <v>211</v>
      </c>
      <c r="DN22" s="359"/>
      <c r="DO22" s="359"/>
      <c r="DP22" s="379">
        <f>430000+FA9</f>
        <v>430000</v>
      </c>
      <c r="DQ22" s="379"/>
      <c r="DR22" s="379"/>
      <c r="DS22" s="379"/>
      <c r="DT22" s="5"/>
      <c r="DU22" s="5"/>
      <c r="DV22" s="5"/>
      <c r="DW22" s="5"/>
      <c r="DX22" s="5"/>
      <c r="DY22" s="5"/>
      <c r="DZ22" s="5"/>
      <c r="EA22" s="5"/>
      <c r="EB22" s="5"/>
      <c r="EC22" s="5"/>
      <c r="ED22" s="5"/>
      <c r="EE22" s="5"/>
      <c r="EF22" s="5"/>
      <c r="EG22" s="5"/>
      <c r="EH22" s="5"/>
      <c r="EI22" s="5"/>
      <c r="EJ22" s="5"/>
      <c r="EK22" s="33"/>
      <c r="EL22" s="141"/>
      <c r="EM22" s="34"/>
      <c r="EN22" s="34"/>
      <c r="EO22" s="34"/>
      <c r="EP22" s="34"/>
      <c r="EQ22" s="34"/>
      <c r="ER22" s="34"/>
      <c r="ES22" s="5"/>
      <c r="ET22" s="5"/>
      <c r="EU22" s="5"/>
      <c r="EV22" s="5"/>
      <c r="EW22" s="5"/>
      <c r="EX22" s="5"/>
      <c r="EY22" s="5"/>
      <c r="EZ22" s="5"/>
      <c r="FA22" s="5"/>
      <c r="FB22" s="5"/>
      <c r="FC22" s="5"/>
      <c r="FD22" s="5"/>
      <c r="FE22" s="5"/>
      <c r="FF22" s="5"/>
      <c r="FG22" s="5"/>
      <c r="FH22" s="5"/>
      <c r="FI22" s="4"/>
      <c r="FJ22" s="4"/>
      <c r="FK22" s="4"/>
      <c r="FL22" s="4"/>
      <c r="FM22" s="4"/>
      <c r="FN22" s="10"/>
      <c r="FO22" s="5"/>
      <c r="FP22" s="5"/>
      <c r="FQ22" s="5"/>
      <c r="FR22" s="5"/>
      <c r="FS22" s="5"/>
      <c r="FT22" s="5"/>
      <c r="FU22" s="5"/>
      <c r="FV22" s="5"/>
      <c r="FW22" s="5"/>
      <c r="FX22" s="5"/>
      <c r="FY22" s="5"/>
      <c r="FZ22" s="5"/>
      <c r="GA22" s="5"/>
      <c r="GB22" s="5"/>
      <c r="GC22" s="5"/>
      <c r="GD22" s="5"/>
      <c r="GE22" s="5"/>
      <c r="GF22" s="5"/>
      <c r="GG22" s="5"/>
      <c r="GH22" s="5"/>
      <c r="GI22" s="5"/>
      <c r="GJ22" s="5"/>
    </row>
    <row r="23" spans="1:192" ht="13.8" customHeight="1">
      <c r="A23" s="104"/>
      <c r="B23" s="116"/>
      <c r="C23" s="116"/>
      <c r="D23" s="116"/>
      <c r="E23" s="116"/>
      <c r="F23" s="116"/>
      <c r="G23" s="116"/>
      <c r="H23" s="116"/>
      <c r="I23" s="116"/>
      <c r="J23" s="116"/>
      <c r="K23" s="116"/>
      <c r="L23" s="116"/>
      <c r="M23" s="116"/>
      <c r="N23" s="104"/>
      <c r="O23" s="109" t="s">
        <v>107</v>
      </c>
      <c r="P23" s="116"/>
      <c r="Q23" s="116"/>
      <c r="R23" s="116"/>
      <c r="S23" s="116"/>
      <c r="T23" s="116"/>
      <c r="U23" s="116"/>
      <c r="V23" s="116"/>
      <c r="W23" s="116"/>
      <c r="X23" s="116"/>
      <c r="AF23" s="116"/>
      <c r="AG23" s="116"/>
      <c r="AH23" s="116"/>
      <c r="AQ23" s="170"/>
      <c r="AR23" s="170"/>
      <c r="AS23" s="521" t="s">
        <v>29</v>
      </c>
      <c r="AT23" s="521"/>
      <c r="AU23" s="521"/>
      <c r="AV23" s="521"/>
      <c r="AW23" s="522"/>
      <c r="AX23" s="511">
        <v>4</v>
      </c>
      <c r="AY23" s="512"/>
      <c r="AZ23" s="523" t="s">
        <v>235</v>
      </c>
      <c r="BA23" s="524"/>
      <c r="BB23" s="524"/>
      <c r="BF23" s="142"/>
      <c r="BG23" s="142"/>
      <c r="BH23" s="184"/>
      <c r="BI23" s="142"/>
      <c r="BJ23" s="142"/>
      <c r="BK23" s="142" t="s">
        <v>135</v>
      </c>
      <c r="BL23" s="142"/>
      <c r="BM23" s="142"/>
      <c r="BN23" s="142"/>
      <c r="BO23" s="142"/>
      <c r="BP23" s="142" t="s">
        <v>142</v>
      </c>
      <c r="BQ23" s="142"/>
      <c r="BR23" s="185"/>
      <c r="BS23" s="185"/>
      <c r="BT23" s="143"/>
      <c r="BU23" s="125"/>
      <c r="BV23" s="125"/>
      <c r="BW23" s="170"/>
      <c r="BX23" s="170"/>
      <c r="BY23" s="170"/>
      <c r="BZ23" s="132"/>
      <c r="CB23" s="74"/>
      <c r="CD23" s="1"/>
      <c r="CG23" s="15"/>
      <c r="CI23" s="144" t="s">
        <v>208</v>
      </c>
      <c r="CJ23" s="528" t="str">
        <f>IF(BF11="被保険者",EQ5,"")</f>
        <v/>
      </c>
      <c r="CK23" s="529"/>
      <c r="CL23" s="529"/>
      <c r="CM23" s="530"/>
      <c r="CN23" s="21"/>
      <c r="CP23" s="144" t="s">
        <v>210</v>
      </c>
      <c r="CQ23" s="528" t="str">
        <f>IF(BU11="被保険者",EQ8,"")</f>
        <v/>
      </c>
      <c r="CR23" s="529"/>
      <c r="CS23" s="529"/>
      <c r="CT23" s="530"/>
      <c r="CV23" s="21"/>
      <c r="CY23" s="547" t="str">
        <f>IF(OR(CY22="",CY22=0),BS29,IF(CY22="２割軽減",BS29,IF(BS29="平等割半額",BS29,"軽減優先")))</f>
        <v>軽減優先</v>
      </c>
      <c r="CZ23" s="547"/>
      <c r="DA23" s="547"/>
      <c r="DB23" s="547"/>
      <c r="DD23" s="3" t="s">
        <v>217</v>
      </c>
      <c r="DF23" s="382" t="s">
        <v>10</v>
      </c>
      <c r="DG23" s="382"/>
      <c r="DH23" s="354">
        <f>料率!E35</f>
        <v>305000</v>
      </c>
      <c r="DI23" s="355"/>
      <c r="DJ23" s="355"/>
      <c r="DK23" s="356"/>
      <c r="DL23" s="5"/>
      <c r="DM23" s="359" t="s">
        <v>212</v>
      </c>
      <c r="DN23" s="359"/>
      <c r="DO23" s="359"/>
      <c r="DP23" s="358">
        <f>IF(AU11=DM4,BB3+1,BB3)*料率!E35+430000+FA9</f>
        <v>735000</v>
      </c>
      <c r="DQ23" s="358"/>
      <c r="DR23" s="358"/>
      <c r="DS23" s="358"/>
      <c r="DT23" s="5"/>
      <c r="DU23" s="5"/>
      <c r="DV23" s="5"/>
      <c r="DW23" s="5"/>
      <c r="DX23" s="5"/>
      <c r="DY23" s="5"/>
      <c r="DZ23" s="5"/>
      <c r="EA23" s="5"/>
      <c r="EB23" s="5"/>
      <c r="EC23" s="5"/>
      <c r="ED23" s="5"/>
      <c r="EE23" s="5"/>
      <c r="EF23" s="5"/>
      <c r="EG23" s="5"/>
      <c r="EH23" s="5"/>
      <c r="EI23" s="5"/>
      <c r="EJ23" s="5"/>
      <c r="EK23" s="34"/>
      <c r="EL23" s="34"/>
      <c r="EM23" s="34"/>
      <c r="EN23" s="34"/>
      <c r="EO23" s="34"/>
      <c r="EP23" s="34"/>
      <c r="EQ23" s="34"/>
      <c r="ER23" s="34"/>
      <c r="ES23" s="4"/>
      <c r="ET23" s="4"/>
      <c r="EU23" s="4"/>
      <c r="EV23" s="4"/>
      <c r="EW23" s="4"/>
      <c r="EX23" s="4"/>
      <c r="EY23" s="4"/>
      <c r="EZ23" s="4"/>
      <c r="FA23" s="4"/>
      <c r="FB23" s="4"/>
      <c r="FC23" s="4"/>
      <c r="FD23" s="4"/>
      <c r="FE23" s="4"/>
      <c r="FF23" s="4"/>
      <c r="FG23" s="4"/>
      <c r="FH23" s="4"/>
      <c r="FI23" s="4"/>
      <c r="FJ23" s="4"/>
      <c r="FK23" s="4"/>
      <c r="FL23" s="4"/>
      <c r="FM23" s="4"/>
      <c r="FN23" s="10"/>
      <c r="FO23" s="5"/>
      <c r="FP23" s="5"/>
      <c r="FQ23" s="5"/>
      <c r="FR23" s="5"/>
      <c r="FS23" s="5"/>
      <c r="FT23" s="5"/>
      <c r="FU23" s="5"/>
      <c r="FV23" s="5"/>
      <c r="FW23" s="5"/>
      <c r="FX23" s="5"/>
      <c r="FY23" s="5"/>
      <c r="FZ23" s="5"/>
      <c r="GA23" s="5"/>
      <c r="GB23" s="5"/>
      <c r="GC23" s="5"/>
      <c r="GD23" s="5"/>
      <c r="GE23" s="5"/>
      <c r="GF23" s="5"/>
      <c r="GG23" s="5"/>
      <c r="GH23" s="5"/>
      <c r="GI23" s="5"/>
      <c r="GJ23" s="5"/>
    </row>
    <row r="24" spans="1:192" ht="13.8" customHeight="1" thickBot="1">
      <c r="B24" s="652" t="s">
        <v>132</v>
      </c>
      <c r="C24" s="689"/>
      <c r="D24" s="689"/>
      <c r="E24" s="689"/>
      <c r="F24" s="689"/>
      <c r="G24" s="689"/>
      <c r="H24" s="689"/>
      <c r="I24" s="689"/>
      <c r="J24" s="689"/>
      <c r="K24" s="689"/>
      <c r="L24" s="689"/>
      <c r="M24" s="653"/>
      <c r="O24" s="688" t="s">
        <v>59</v>
      </c>
      <c r="P24" s="688"/>
      <c r="Q24" s="688"/>
      <c r="R24" s="688"/>
      <c r="S24" s="688"/>
      <c r="T24" s="688"/>
      <c r="U24" s="119"/>
      <c r="V24" s="119"/>
      <c r="W24" s="119"/>
      <c r="X24" s="119"/>
      <c r="Y24" s="119"/>
      <c r="Z24" s="119"/>
      <c r="AF24" s="119"/>
      <c r="AG24" s="119"/>
      <c r="AH24" s="119"/>
      <c r="AI24" s="119"/>
      <c r="AJ24" s="119"/>
      <c r="AQ24" s="170"/>
      <c r="AR24" s="170"/>
      <c r="AS24" s="521"/>
      <c r="AT24" s="521"/>
      <c r="AU24" s="521"/>
      <c r="AV24" s="521"/>
      <c r="AW24" s="522"/>
      <c r="AX24" s="513"/>
      <c r="AY24" s="514"/>
      <c r="AZ24" s="523"/>
      <c r="BA24" s="524"/>
      <c r="BB24" s="524"/>
      <c r="BC24" s="190">
        <f>DK12</f>
        <v>12</v>
      </c>
      <c r="BD24" s="191" t="s">
        <v>54</v>
      </c>
      <c r="BE24" s="192"/>
      <c r="BF24" s="142"/>
      <c r="BG24" s="142"/>
      <c r="BH24" s="142"/>
      <c r="BI24" s="142"/>
      <c r="BJ24" s="142"/>
      <c r="BK24" s="497" t="s">
        <v>71</v>
      </c>
      <c r="BL24" s="498"/>
      <c r="BM24" s="498"/>
      <c r="BN24" s="499"/>
      <c r="BO24" s="142"/>
      <c r="BP24" s="497">
        <v>0</v>
      </c>
      <c r="BQ24" s="498"/>
      <c r="BR24" s="498"/>
      <c r="BS24" s="499"/>
      <c r="BT24" s="184" t="s">
        <v>206</v>
      </c>
      <c r="BU24" s="170"/>
      <c r="BV24" s="186"/>
      <c r="BW24" s="170"/>
      <c r="BX24" s="170"/>
      <c r="BY24" s="170"/>
      <c r="BZ24" s="132"/>
      <c r="CB24" s="45"/>
      <c r="CD24" s="15"/>
      <c r="CE24" s="15"/>
      <c r="CF24" s="15"/>
      <c r="CG24" s="15"/>
      <c r="CH24" s="15"/>
      <c r="CL24" s="30"/>
      <c r="CM24" s="47"/>
      <c r="CN24" s="48"/>
      <c r="CO24" s="1"/>
      <c r="CP24" s="1"/>
      <c r="CQ24" s="30"/>
      <c r="CR24" s="47"/>
      <c r="CS24" s="21"/>
      <c r="CT24" s="49"/>
      <c r="CU24" s="49"/>
      <c r="CV24" s="49"/>
      <c r="CW24" s="49"/>
      <c r="CX24" s="50"/>
      <c r="CY24" s="50"/>
      <c r="CZ24" s="50"/>
      <c r="DA24" s="50"/>
      <c r="DB24" s="50"/>
      <c r="DC24" s="1"/>
      <c r="DD24" s="132"/>
      <c r="DE24" s="21"/>
      <c r="DF24" s="382" t="s">
        <v>11</v>
      </c>
      <c r="DG24" s="382"/>
      <c r="DH24" s="354">
        <f>料率!E36</f>
        <v>560000</v>
      </c>
      <c r="DI24" s="355"/>
      <c r="DJ24" s="355"/>
      <c r="DK24" s="356"/>
      <c r="DL24" s="5"/>
      <c r="DM24" s="359" t="s">
        <v>213</v>
      </c>
      <c r="DN24" s="359"/>
      <c r="DO24" s="359"/>
      <c r="DP24" s="358">
        <f>IF(AU11=DM4,BB3+1,BB3)*料率!E36+430000+FA9</f>
        <v>990000</v>
      </c>
      <c r="DQ24" s="358"/>
      <c r="DR24" s="358"/>
      <c r="DS24" s="358"/>
      <c r="DT24" s="5"/>
      <c r="DU24" s="5"/>
      <c r="DV24" s="5"/>
      <c r="DW24" s="5"/>
      <c r="DX24" s="5"/>
      <c r="DY24" s="5"/>
      <c r="DZ24" s="5"/>
      <c r="EA24" s="5"/>
      <c r="EB24" s="5"/>
      <c r="EC24" s="5"/>
      <c r="ED24" s="22"/>
      <c r="EE24" s="22"/>
      <c r="EF24" s="22"/>
      <c r="EG24" s="22"/>
      <c r="EH24" s="22"/>
      <c r="EI24" s="22"/>
      <c r="EJ24" s="22"/>
      <c r="EK24" s="33"/>
      <c r="EL24" s="141"/>
      <c r="EM24" s="34"/>
      <c r="EN24" s="34"/>
      <c r="EO24" s="34"/>
      <c r="EP24" s="34"/>
      <c r="EQ24" s="34"/>
      <c r="ER24" s="34"/>
      <c r="ES24" s="5"/>
      <c r="ET24" s="5"/>
      <c r="EU24" s="5"/>
      <c r="EV24" s="5"/>
      <c r="EW24" s="5"/>
      <c r="EX24" s="5"/>
      <c r="EY24" s="5"/>
      <c r="EZ24" s="4"/>
      <c r="FA24" s="4"/>
      <c r="FB24" s="4"/>
      <c r="FC24" s="4"/>
      <c r="FD24" s="4"/>
      <c r="FE24" s="4"/>
      <c r="FF24" s="4"/>
      <c r="FG24" s="4"/>
      <c r="FH24" s="4"/>
      <c r="FI24" s="4"/>
      <c r="FJ24" s="4"/>
      <c r="FK24" s="4"/>
      <c r="FL24" s="4"/>
      <c r="FM24" s="4"/>
      <c r="FN24" s="10"/>
      <c r="FO24" s="5"/>
      <c r="FP24" s="5"/>
      <c r="FQ24" s="5"/>
      <c r="FR24" s="5"/>
      <c r="FS24" s="5"/>
      <c r="FT24" s="5"/>
      <c r="FU24" s="5"/>
      <c r="FV24" s="5"/>
      <c r="FW24" s="5"/>
      <c r="FX24" s="5"/>
      <c r="FY24" s="5"/>
      <c r="FZ24" s="5"/>
      <c r="GA24" s="5"/>
      <c r="GB24" s="5"/>
      <c r="GC24" s="5"/>
      <c r="GD24" s="5"/>
      <c r="GE24" s="5"/>
      <c r="GF24" s="5"/>
      <c r="GG24" s="5"/>
      <c r="GH24" s="5"/>
      <c r="GI24" s="5"/>
      <c r="GJ24" s="5"/>
    </row>
    <row r="25" spans="1:192" s="51" customFormat="1" ht="13.8" customHeight="1">
      <c r="A25" s="112"/>
      <c r="B25" s="652" t="s">
        <v>1</v>
      </c>
      <c r="C25" s="653"/>
      <c r="D25" s="652" t="s">
        <v>2</v>
      </c>
      <c r="E25" s="653"/>
      <c r="F25" s="683" t="s">
        <v>5</v>
      </c>
      <c r="G25" s="684"/>
      <c r="H25" s="683" t="s">
        <v>6</v>
      </c>
      <c r="I25" s="684"/>
      <c r="J25" s="683" t="s">
        <v>7</v>
      </c>
      <c r="K25" s="684"/>
      <c r="L25" s="683" t="s">
        <v>8</v>
      </c>
      <c r="M25" s="684"/>
      <c r="N25" s="112"/>
      <c r="O25" s="449" t="s">
        <v>2</v>
      </c>
      <c r="P25" s="451"/>
      <c r="Q25" s="690" t="s">
        <v>6</v>
      </c>
      <c r="R25" s="691"/>
      <c r="S25" s="690" t="s">
        <v>8</v>
      </c>
      <c r="T25" s="691"/>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70"/>
      <c r="AR25" s="170"/>
      <c r="AS25" s="519" t="s">
        <v>55</v>
      </c>
      <c r="AT25" s="519"/>
      <c r="AU25" s="519"/>
      <c r="AV25" s="519"/>
      <c r="AW25" s="520"/>
      <c r="AX25" s="515">
        <v>1</v>
      </c>
      <c r="AY25" s="516"/>
      <c r="AZ25" s="540" t="s">
        <v>236</v>
      </c>
      <c r="BA25" s="541"/>
      <c r="BB25" s="541"/>
      <c r="BC25" s="20"/>
      <c r="BD25" s="20"/>
      <c r="BE25" s="20"/>
      <c r="BF25" s="142"/>
      <c r="BG25" s="142"/>
      <c r="BH25" s="142"/>
      <c r="BI25" s="142"/>
      <c r="BJ25" s="142"/>
      <c r="BK25" s="142"/>
      <c r="BL25" s="142"/>
      <c r="BM25" s="142"/>
      <c r="BN25" s="142"/>
      <c r="BO25" s="187" t="s">
        <v>141</v>
      </c>
      <c r="BP25" s="124"/>
      <c r="BQ25" s="142"/>
      <c r="BR25" s="184"/>
      <c r="BS25" s="184"/>
      <c r="BT25" s="184"/>
      <c r="BU25" s="170"/>
      <c r="BV25" s="186"/>
      <c r="BW25" s="170"/>
      <c r="BX25" s="170"/>
      <c r="BY25" s="170"/>
      <c r="BZ25" s="133"/>
      <c r="CB25" s="589" t="s">
        <v>12</v>
      </c>
      <c r="CC25" s="76"/>
      <c r="CD25" s="53" t="s">
        <v>22</v>
      </c>
      <c r="CE25" s="53"/>
      <c r="CF25" s="53"/>
      <c r="CG25" s="53"/>
      <c r="CH25" s="53"/>
      <c r="CI25" s="53" t="s">
        <v>75</v>
      </c>
      <c r="CJ25" s="53"/>
      <c r="CK25" s="53"/>
      <c r="CL25" s="53"/>
      <c r="CM25" s="53" t="s">
        <v>77</v>
      </c>
      <c r="CN25" s="53"/>
      <c r="CO25" s="53"/>
      <c r="CP25" s="53"/>
      <c r="CQ25" s="53"/>
      <c r="CR25" s="53"/>
      <c r="CS25" s="53" t="s">
        <v>23</v>
      </c>
      <c r="CT25" s="53"/>
      <c r="CU25" s="53"/>
      <c r="CV25" s="53"/>
      <c r="CW25" s="53"/>
      <c r="CX25" s="53" t="s">
        <v>155</v>
      </c>
      <c r="CY25" s="53"/>
      <c r="CZ25" s="53"/>
      <c r="DA25" s="53"/>
      <c r="DB25" s="77"/>
      <c r="DD25" s="133"/>
      <c r="DF25" s="52"/>
      <c r="DG25" s="52"/>
      <c r="DH25" s="52"/>
      <c r="DI25" s="52"/>
      <c r="DJ25" s="52"/>
      <c r="DK25" s="52"/>
      <c r="DL25" s="52"/>
      <c r="DM25" s="604"/>
      <c r="DN25" s="604"/>
      <c r="DO25" s="604"/>
      <c r="DP25" s="52"/>
      <c r="DQ25" s="52"/>
      <c r="DR25" s="52"/>
      <c r="DS25" s="5"/>
      <c r="DT25" s="5"/>
      <c r="DU25" s="5"/>
      <c r="DV25" s="5"/>
      <c r="DW25" s="5"/>
      <c r="DX25" s="5"/>
      <c r="DY25" s="5"/>
      <c r="DZ25" s="5"/>
      <c r="EA25" s="52"/>
      <c r="EB25" s="52"/>
      <c r="EC25" s="52"/>
      <c r="ED25" s="22"/>
      <c r="EE25" s="22"/>
      <c r="EF25" s="52"/>
      <c r="EG25" s="52"/>
      <c r="EH25" s="52"/>
      <c r="EI25" s="52"/>
      <c r="EJ25" s="52"/>
      <c r="EK25" s="52"/>
      <c r="EL25" s="52"/>
      <c r="EM25" s="5"/>
      <c r="EN25" s="5"/>
      <c r="EO25" s="5"/>
      <c r="EP25" s="5"/>
      <c r="EQ25" s="5"/>
      <c r="ER25" s="5"/>
      <c r="ES25" s="5"/>
      <c r="ET25" s="5"/>
      <c r="EU25" s="5"/>
      <c r="EV25" s="5"/>
      <c r="EW25" s="5"/>
      <c r="EX25" s="5"/>
      <c r="EY25" s="5"/>
      <c r="EZ25" s="4"/>
      <c r="FA25" s="4"/>
      <c r="FB25" s="4"/>
      <c r="FC25" s="37" t="s">
        <v>238</v>
      </c>
      <c r="FD25" s="4"/>
      <c r="FE25" s="4"/>
      <c r="FF25" s="4"/>
      <c r="FG25" s="4"/>
      <c r="FH25" s="4"/>
      <c r="FI25" s="4"/>
      <c r="FJ25" s="4"/>
      <c r="FK25" s="4"/>
      <c r="FL25" s="4"/>
      <c r="FM25" s="4"/>
      <c r="FN25" s="10"/>
      <c r="FO25" s="5"/>
      <c r="FP25" s="5"/>
      <c r="FQ25" s="5"/>
      <c r="FR25" s="5"/>
      <c r="FS25" s="52"/>
      <c r="FT25" s="52"/>
      <c r="FU25" s="52"/>
      <c r="FV25" s="52"/>
      <c r="FW25" s="52"/>
      <c r="FX25" s="52"/>
      <c r="FY25" s="52"/>
      <c r="FZ25" s="52"/>
      <c r="GA25" s="52"/>
      <c r="GB25" s="52"/>
      <c r="GC25" s="52"/>
      <c r="GD25" s="52"/>
      <c r="GE25" s="52"/>
      <c r="GF25" s="52"/>
      <c r="GG25" s="52"/>
      <c r="GH25" s="52"/>
      <c r="GI25" s="52"/>
      <c r="GJ25" s="52"/>
    </row>
    <row r="26" spans="1:192" s="51" customFormat="1" ht="13.8" customHeight="1" thickBot="1">
      <c r="A26" s="114"/>
      <c r="B26" s="670">
        <v>-8260</v>
      </c>
      <c r="C26" s="671"/>
      <c r="D26" s="670">
        <v>-5320</v>
      </c>
      <c r="E26" s="671"/>
      <c r="F26" s="685">
        <v>-5900</v>
      </c>
      <c r="G26" s="686"/>
      <c r="H26" s="685">
        <v>-3800</v>
      </c>
      <c r="I26" s="686"/>
      <c r="J26" s="685">
        <v>-2360</v>
      </c>
      <c r="K26" s="686"/>
      <c r="L26" s="685">
        <v>-1520</v>
      </c>
      <c r="M26" s="686"/>
      <c r="N26" s="114"/>
      <c r="O26" s="670">
        <v>-2660</v>
      </c>
      <c r="P26" s="671"/>
      <c r="Q26" s="685">
        <v>-1900</v>
      </c>
      <c r="R26" s="686"/>
      <c r="S26" s="685">
        <v>-760</v>
      </c>
      <c r="T26" s="686"/>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70"/>
      <c r="AS26" s="519"/>
      <c r="AT26" s="519"/>
      <c r="AU26" s="519"/>
      <c r="AV26" s="519"/>
      <c r="AW26" s="520"/>
      <c r="AX26" s="517"/>
      <c r="AY26" s="518"/>
      <c r="AZ26" s="540"/>
      <c r="BA26" s="541"/>
      <c r="BB26" s="541"/>
      <c r="BC26" s="193">
        <f>10-AX25+1</f>
        <v>10</v>
      </c>
      <c r="BD26" s="194" t="s">
        <v>30</v>
      </c>
      <c r="BE26" s="195"/>
      <c r="BO26" s="196" t="s">
        <v>233</v>
      </c>
      <c r="BY26" s="179"/>
      <c r="BZ26" s="133"/>
      <c r="CB26" s="590"/>
      <c r="CC26" s="78"/>
      <c r="CD26" s="592">
        <f>IF($GE34=$GE33,DY34,EG34)</f>
        <v>0</v>
      </c>
      <c r="CE26" s="593"/>
      <c r="CF26" s="593"/>
      <c r="CG26" s="594"/>
      <c r="CH26" s="163" t="s">
        <v>76</v>
      </c>
      <c r="CI26" s="592">
        <f>EQ34+EU34+EY34</f>
        <v>10530</v>
      </c>
      <c r="CJ26" s="593"/>
      <c r="CK26" s="593"/>
      <c r="CL26" s="594"/>
      <c r="CM26" s="163" t="s">
        <v>76</v>
      </c>
      <c r="CN26" s="592">
        <f>FG28+FG30</f>
        <v>6780</v>
      </c>
      <c r="CO26" s="593"/>
      <c r="CP26" s="593"/>
      <c r="CQ26" s="594"/>
      <c r="CR26" s="163" t="s">
        <v>67</v>
      </c>
      <c r="CS26" s="592">
        <f>CD26+CI26+CN26</f>
        <v>17310</v>
      </c>
      <c r="CT26" s="593"/>
      <c r="CU26" s="593"/>
      <c r="CV26" s="594"/>
      <c r="CW26" s="163" t="s">
        <v>78</v>
      </c>
      <c r="CX26" s="595">
        <f>IF(CS26&gt;料率!E41,料率!E41,ROUNDDOWN(CS26,-2))</f>
        <v>17300</v>
      </c>
      <c r="CY26" s="596"/>
      <c r="CZ26" s="596"/>
      <c r="DA26" s="597"/>
      <c r="DB26" s="79"/>
      <c r="DD26" s="133"/>
      <c r="DF26" s="98" t="s">
        <v>125</v>
      </c>
      <c r="DG26" s="52"/>
      <c r="DH26" s="52"/>
      <c r="DI26" s="52"/>
      <c r="DJ26" s="22"/>
      <c r="DK26" s="52"/>
      <c r="DL26" s="601" t="s">
        <v>17</v>
      </c>
      <c r="DM26" s="602"/>
      <c r="DN26" s="602"/>
      <c r="DO26" s="603"/>
      <c r="DP26" s="576">
        <f>EQ$9</f>
        <v>0</v>
      </c>
      <c r="DQ26" s="576"/>
      <c r="DR26" s="576"/>
      <c r="DS26" s="577"/>
      <c r="DT26" s="22"/>
      <c r="DU26" s="5"/>
      <c r="DV26" s="5"/>
      <c r="DW26" s="5"/>
      <c r="DX26" s="5"/>
      <c r="DY26" s="5"/>
      <c r="DZ26" s="5"/>
      <c r="EA26" s="52"/>
      <c r="EB26" s="52"/>
      <c r="EC26" s="22"/>
      <c r="ED26" s="22"/>
      <c r="EE26" s="22"/>
      <c r="EF26" s="52"/>
      <c r="EG26" s="52"/>
      <c r="EH26" s="52"/>
      <c r="EI26" s="52"/>
      <c r="EJ26" s="52"/>
      <c r="EK26" s="52"/>
      <c r="EL26" s="52"/>
      <c r="EM26" s="5"/>
      <c r="EN26" s="5"/>
      <c r="EO26" s="5"/>
      <c r="EP26" s="5"/>
      <c r="EQ26" s="5"/>
      <c r="ER26" s="5"/>
      <c r="ES26" s="5"/>
      <c r="ET26" s="5"/>
      <c r="EU26" s="5"/>
      <c r="EV26" s="5"/>
      <c r="EW26" s="5"/>
      <c r="EX26" s="5"/>
      <c r="EY26" s="5"/>
      <c r="EZ26" s="4"/>
      <c r="FA26" s="4"/>
      <c r="FB26" s="4"/>
      <c r="FC26" s="37" t="s">
        <v>234</v>
      </c>
      <c r="FD26" s="4"/>
      <c r="FE26" s="4"/>
      <c r="FF26" s="4"/>
      <c r="FG26" s="4"/>
      <c r="FH26" s="4"/>
      <c r="FI26" s="4"/>
      <c r="FJ26" s="4"/>
      <c r="FK26" s="4"/>
      <c r="FL26" s="4"/>
      <c r="FM26" s="4"/>
      <c r="FN26" s="10"/>
      <c r="FO26" s="5"/>
      <c r="FP26" s="5"/>
      <c r="FQ26" s="5"/>
      <c r="FR26" s="5"/>
      <c r="FS26" s="52"/>
      <c r="FT26" s="52"/>
      <c r="FU26" s="52"/>
      <c r="FV26" s="52"/>
      <c r="FW26" s="52"/>
      <c r="FX26" s="52"/>
      <c r="FY26" s="52"/>
      <c r="FZ26" s="52"/>
      <c r="GA26" s="52"/>
      <c r="GB26" s="52"/>
      <c r="GC26" s="52"/>
      <c r="GD26" s="52"/>
      <c r="GE26" s="52"/>
      <c r="GF26" s="52"/>
      <c r="GG26" s="52"/>
      <c r="GH26" s="52"/>
      <c r="GI26" s="52"/>
      <c r="GJ26" s="52"/>
    </row>
    <row r="27" spans="1:192" s="51" customFormat="1" ht="13.8" customHeight="1" thickBot="1">
      <c r="A27" s="104"/>
      <c r="B27" s="116"/>
      <c r="C27" s="116"/>
      <c r="D27" s="116"/>
      <c r="E27" s="116"/>
      <c r="F27" s="116"/>
      <c r="G27" s="116"/>
      <c r="H27" s="116"/>
      <c r="I27" s="116"/>
      <c r="J27" s="116"/>
      <c r="K27" s="116"/>
      <c r="L27" s="116"/>
      <c r="M27" s="116"/>
      <c r="N27" s="104"/>
      <c r="O27" s="109" t="s">
        <v>107</v>
      </c>
      <c r="P27" s="116"/>
      <c r="Q27" s="116"/>
      <c r="R27" s="116"/>
      <c r="S27" s="116"/>
      <c r="T27" s="116"/>
      <c r="U27" s="116"/>
      <c r="V27" s="116"/>
      <c r="W27" s="116"/>
      <c r="X27" s="116"/>
      <c r="Y27" s="114"/>
      <c r="Z27" s="114"/>
      <c r="AA27" s="114"/>
      <c r="AB27" s="114"/>
      <c r="AC27" s="114"/>
      <c r="AD27" s="114"/>
      <c r="AE27" s="114"/>
      <c r="AF27" s="116"/>
      <c r="AG27" s="116"/>
      <c r="AH27" s="116"/>
      <c r="AI27" s="114"/>
      <c r="AJ27" s="114"/>
      <c r="AK27" s="114"/>
      <c r="AL27" s="114"/>
      <c r="AM27" s="114"/>
      <c r="AN27" s="114"/>
      <c r="AO27" s="114"/>
      <c r="AP27" s="114"/>
      <c r="AQ27" s="170"/>
      <c r="AR27" s="170"/>
      <c r="AS27" s="170"/>
      <c r="AT27" s="170"/>
      <c r="AU27" s="170"/>
      <c r="AV27" s="170"/>
      <c r="AW27" s="170"/>
      <c r="AX27" s="170"/>
      <c r="AY27" s="170"/>
      <c r="AZ27" s="502"/>
      <c r="BA27" s="502"/>
      <c r="BB27" s="170"/>
      <c r="BC27" s="170"/>
      <c r="BD27" s="170"/>
      <c r="BE27" s="170"/>
      <c r="BF27" s="188"/>
      <c r="BG27" s="188"/>
      <c r="BH27" s="188"/>
      <c r="BI27" s="188"/>
      <c r="BJ27" s="188"/>
      <c r="BK27" s="188"/>
      <c r="BL27" s="188"/>
      <c r="BM27" s="188"/>
      <c r="BN27" s="188"/>
      <c r="BO27" s="169"/>
      <c r="BP27" s="168"/>
      <c r="BQ27" s="179"/>
      <c r="BR27" s="179"/>
      <c r="BS27" s="179"/>
      <c r="BT27" s="179"/>
      <c r="BU27" s="179"/>
      <c r="BV27" s="179"/>
      <c r="BW27" s="179"/>
      <c r="BX27" s="179"/>
      <c r="BY27" s="170"/>
      <c r="BZ27" s="133"/>
      <c r="CB27" s="590"/>
      <c r="CC27" s="78"/>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80"/>
      <c r="DD27" s="133"/>
      <c r="DF27" s="52" t="s">
        <v>166</v>
      </c>
      <c r="DG27" s="52"/>
      <c r="DH27" s="52"/>
      <c r="DI27" s="52"/>
      <c r="DJ27" s="52"/>
      <c r="DK27" s="52"/>
      <c r="DL27" s="52"/>
      <c r="DM27" s="52"/>
      <c r="DN27" s="52"/>
      <c r="DO27" s="52"/>
      <c r="DP27" s="52"/>
      <c r="DQ27" s="52"/>
      <c r="DR27" s="52"/>
      <c r="DS27" s="52"/>
      <c r="DT27" s="52"/>
      <c r="DU27" s="52"/>
      <c r="DV27" s="52"/>
      <c r="DW27" s="52"/>
      <c r="DX27" s="52"/>
      <c r="DY27" s="52"/>
      <c r="DZ27" s="52"/>
      <c r="EA27" s="52"/>
      <c r="EB27" s="5"/>
      <c r="EC27" s="22"/>
      <c r="ED27" s="22"/>
      <c r="EE27" s="22"/>
      <c r="EF27" s="52"/>
      <c r="EG27" s="52"/>
      <c r="EH27" s="52"/>
      <c r="EI27" s="52"/>
      <c r="EJ27" s="52"/>
      <c r="EK27" s="52"/>
      <c r="EL27" s="52"/>
      <c r="EM27" s="52" t="s">
        <v>167</v>
      </c>
      <c r="EN27" s="52"/>
      <c r="EO27" s="52"/>
      <c r="EP27" s="52"/>
      <c r="EQ27" s="36" t="s">
        <v>180</v>
      </c>
      <c r="ER27" s="52"/>
      <c r="ES27" s="52"/>
      <c r="ET27" s="52"/>
      <c r="EU27" s="52" t="s">
        <v>181</v>
      </c>
      <c r="EV27" s="52"/>
      <c r="EW27" s="52"/>
      <c r="EX27" s="52"/>
      <c r="EY27" s="52" t="s">
        <v>182</v>
      </c>
      <c r="EZ27" s="52"/>
      <c r="FA27" s="52"/>
      <c r="FB27" s="52"/>
      <c r="FC27" s="52" t="s">
        <v>239</v>
      </c>
      <c r="FD27" s="52"/>
      <c r="FE27" s="52"/>
      <c r="FF27" s="52"/>
      <c r="FG27" s="52" t="s">
        <v>168</v>
      </c>
      <c r="FH27" s="52"/>
      <c r="FI27" s="52"/>
      <c r="FJ27" s="52"/>
      <c r="FK27" s="22" t="s">
        <v>187</v>
      </c>
      <c r="FL27" s="52"/>
      <c r="FM27" s="4"/>
      <c r="FN27" s="10"/>
      <c r="FO27" s="52"/>
      <c r="FP27" s="52"/>
      <c r="FQ27" s="52"/>
      <c r="FR27" s="22"/>
      <c r="FS27" s="22"/>
      <c r="FT27" s="22"/>
      <c r="FU27" s="22"/>
      <c r="FV27" s="22"/>
      <c r="FW27" s="22"/>
      <c r="FX27" s="22"/>
      <c r="FY27" s="22"/>
      <c r="FZ27" s="22"/>
      <c r="GA27" s="22"/>
      <c r="GB27" s="22"/>
      <c r="GC27" s="22"/>
      <c r="GD27" s="22"/>
      <c r="GE27" s="22"/>
      <c r="GF27" s="22"/>
      <c r="GG27" s="22"/>
      <c r="GH27" s="164"/>
      <c r="GI27" s="52"/>
      <c r="GJ27" s="52"/>
    </row>
    <row r="28" spans="1:192" s="51" customFormat="1" ht="13.8" customHeight="1" thickBot="1">
      <c r="A28" s="114"/>
      <c r="B28" s="652" t="s">
        <v>225</v>
      </c>
      <c r="C28" s="689"/>
      <c r="D28" s="689"/>
      <c r="E28" s="689"/>
      <c r="F28" s="689"/>
      <c r="G28" s="689"/>
      <c r="H28" s="689"/>
      <c r="I28" s="689"/>
      <c r="J28" s="689"/>
      <c r="K28" s="689"/>
      <c r="L28" s="689"/>
      <c r="M28" s="653"/>
      <c r="N28" s="114"/>
      <c r="O28" s="688" t="s">
        <v>190</v>
      </c>
      <c r="P28" s="688"/>
      <c r="Q28" s="688"/>
      <c r="R28" s="688"/>
      <c r="S28" s="688"/>
      <c r="T28" s="688"/>
      <c r="U28" s="119"/>
      <c r="V28" s="119"/>
      <c r="W28" s="119"/>
      <c r="X28" s="119"/>
      <c r="Y28" s="119"/>
      <c r="Z28" s="119"/>
      <c r="AA28" s="114"/>
      <c r="AB28" s="114"/>
      <c r="AC28" s="114"/>
      <c r="AD28" s="114"/>
      <c r="AE28" s="114"/>
      <c r="AF28" s="119"/>
      <c r="AG28" s="119"/>
      <c r="AH28" s="119"/>
      <c r="AI28" s="119"/>
      <c r="AJ28" s="119"/>
      <c r="AK28" s="114"/>
      <c r="AL28" s="114"/>
      <c r="AM28" s="114"/>
      <c r="AN28" s="114"/>
      <c r="AO28" s="114"/>
      <c r="AP28" s="114"/>
      <c r="AQ28" s="170"/>
      <c r="AR28" s="486" t="str">
        <f>IF(SUM(EE3:EE8)&gt;0,IF(BB3=1,"国保から後期高齢者に異動して、被扶養者が１人だけ国保に残った世帯",""),"")</f>
        <v/>
      </c>
      <c r="AS28" s="487"/>
      <c r="AT28" s="487"/>
      <c r="AU28" s="487"/>
      <c r="AV28" s="487"/>
      <c r="AW28" s="487"/>
      <c r="AX28" s="487"/>
      <c r="AY28" s="487"/>
      <c r="AZ28" s="487"/>
      <c r="BA28" s="487"/>
      <c r="BB28" s="487"/>
      <c r="BC28" s="487"/>
      <c r="BD28" s="487"/>
      <c r="BE28" s="487"/>
      <c r="BF28" s="487"/>
      <c r="BG28" s="487"/>
      <c r="BH28" s="487"/>
      <c r="BI28" s="487"/>
      <c r="BJ28" s="487"/>
      <c r="BK28" s="487"/>
      <c r="BL28" s="487"/>
      <c r="BM28" s="487"/>
      <c r="BN28" s="487"/>
      <c r="BO28" s="487"/>
      <c r="BP28" s="488"/>
      <c r="BQ28" s="170"/>
      <c r="BR28" s="170"/>
      <c r="BS28" s="126"/>
      <c r="BT28" s="126"/>
      <c r="BU28" s="126"/>
      <c r="BV28" s="126"/>
      <c r="BW28" s="126"/>
      <c r="BX28" s="170"/>
      <c r="BY28" s="170"/>
      <c r="BZ28" s="133"/>
      <c r="CB28" s="590"/>
      <c r="CC28" s="81"/>
      <c r="CD28" s="82" t="s">
        <v>171</v>
      </c>
      <c r="CE28" s="82"/>
      <c r="CF28" s="82"/>
      <c r="CG28" s="82" t="s">
        <v>249</v>
      </c>
      <c r="CH28" s="82"/>
      <c r="CI28" s="82"/>
      <c r="CJ28" s="82"/>
      <c r="CK28" s="82"/>
      <c r="CL28" s="82"/>
      <c r="CM28" s="82"/>
      <c r="CN28" s="82"/>
      <c r="CO28" s="82"/>
      <c r="CP28" s="82"/>
      <c r="CQ28" s="82"/>
      <c r="CR28" s="82"/>
      <c r="CS28" s="82"/>
      <c r="CT28" s="82"/>
      <c r="CU28" s="82"/>
      <c r="CV28" s="82"/>
      <c r="CW28" s="82"/>
      <c r="CX28" s="82"/>
      <c r="CY28" s="82"/>
      <c r="CZ28" s="83"/>
      <c r="DA28" s="83"/>
      <c r="DB28" s="84"/>
      <c r="DD28" s="133"/>
      <c r="DE28" s="21"/>
      <c r="DF28" s="22">
        <f>IF(DV28&gt;0,1,0)</f>
        <v>0</v>
      </c>
      <c r="DG28" s="573" t="str">
        <f>IF(AU11=DF3,DF3,"擬制世帯主")</f>
        <v>世帯主</v>
      </c>
      <c r="DH28" s="573"/>
      <c r="DI28" s="573"/>
      <c r="DJ28" s="54" t="s">
        <v>154</v>
      </c>
      <c r="DK28" s="565">
        <f t="shared" ref="DK28:DK33" si="2">EQ3</f>
        <v>0</v>
      </c>
      <c r="DL28" s="565"/>
      <c r="DM28" s="565"/>
      <c r="DN28" s="565"/>
      <c r="DO28" s="22" t="s">
        <v>64</v>
      </c>
      <c r="DP28" s="160" t="s">
        <v>65</v>
      </c>
      <c r="DQ28" s="605">
        <f>料率!E38</f>
        <v>430000</v>
      </c>
      <c r="DR28" s="605"/>
      <c r="DS28" s="605"/>
      <c r="DT28" s="22" t="s">
        <v>64</v>
      </c>
      <c r="DU28" s="22" t="s">
        <v>165</v>
      </c>
      <c r="DV28" s="567">
        <f>IF(DK28-DQ28&lt;0,0,DK28-DQ28)</f>
        <v>0</v>
      </c>
      <c r="DW28" s="567"/>
      <c r="DX28" s="567"/>
      <c r="DY28" s="567"/>
      <c r="DZ28" s="22" t="s">
        <v>153</v>
      </c>
      <c r="EA28" s="574">
        <f>料率!B13</f>
        <v>8.1</v>
      </c>
      <c r="EB28" s="574"/>
      <c r="EC28" s="160" t="s">
        <v>66</v>
      </c>
      <c r="ED28" s="564">
        <v>100</v>
      </c>
      <c r="EE28" s="564"/>
      <c r="EF28" s="160" t="s">
        <v>67</v>
      </c>
      <c r="EG28" s="568">
        <f>IF(EF3=1,0,IF(DK28-DQ28&lt;0,0,ROUNDDOWN((DK28-DQ28)*EA28/ED28,0)))</f>
        <v>0</v>
      </c>
      <c r="EH28" s="568"/>
      <c r="EI28" s="568"/>
      <c r="EJ28" s="165"/>
      <c r="EK28" s="22"/>
      <c r="EL28" s="55" t="s">
        <v>71</v>
      </c>
      <c r="EM28" s="565">
        <f>IF(EB3=1,料率!F8,0)</f>
        <v>35100</v>
      </c>
      <c r="EN28" s="565"/>
      <c r="EO28" s="565"/>
      <c r="EP28" s="62"/>
      <c r="EQ28" s="569">
        <f>IF(EB3=1,IF(EF3=1,IF(CY22="２割軽減",料率!F13-EU28,IF(CY22="７割軽減",料率!F8,IF(CY22="５割軽減",料率!F8,料率!F13))),料率!F8),0)</f>
        <v>35100</v>
      </c>
      <c r="ER28" s="569"/>
      <c r="ES28" s="569"/>
      <c r="ET28" s="56"/>
      <c r="EU28" s="570">
        <f>IF(AU11=DF3,IF(CY22="７割軽減",料率!B18,IF(CY22="５割軽減",料率!F18,IF(CY22="２割軽減",料率!J18,0))),0)</f>
        <v>-24570</v>
      </c>
      <c r="EV28" s="570"/>
      <c r="EW28" s="570"/>
      <c r="EX28" s="56"/>
      <c r="EY28" s="570">
        <f>IF($AU$12=$DT$5,-ROUNDUP((EQ28+EU28)/2,0),0)</f>
        <v>0</v>
      </c>
      <c r="EZ28" s="570"/>
      <c r="FA28" s="570"/>
      <c r="FB28" s="56"/>
      <c r="FC28" s="570">
        <f>IF(EL28=BK$24,IF(BP$24&gt;0,ROUNDUP((EG28+(EQ28+EU28))*BP$24/12,0),0),0)</f>
        <v>0</v>
      </c>
      <c r="FD28" s="571"/>
      <c r="FE28" s="572"/>
      <c r="FF28" s="56"/>
      <c r="FG28" s="558">
        <f>IF(CY23="平等割＋均等割半額",料率!I13,FG32)</f>
        <v>22600</v>
      </c>
      <c r="FH28" s="558"/>
      <c r="FI28" s="558"/>
      <c r="FJ28" s="22"/>
      <c r="FK28" s="22" t="s">
        <v>22</v>
      </c>
      <c r="FL28" s="22"/>
      <c r="FM28" s="22"/>
      <c r="FN28" s="22"/>
      <c r="FO28" s="22"/>
      <c r="FP28" s="22" t="s">
        <v>75</v>
      </c>
      <c r="FQ28" s="22"/>
      <c r="FR28" s="22"/>
      <c r="FS28" s="22"/>
      <c r="FT28" s="22" t="s">
        <v>77</v>
      </c>
      <c r="FU28" s="22"/>
      <c r="FV28" s="22"/>
      <c r="FW28" s="22"/>
      <c r="FX28" s="22"/>
      <c r="FY28" s="22"/>
      <c r="FZ28" s="22" t="s">
        <v>23</v>
      </c>
      <c r="GA28" s="22"/>
      <c r="GB28" s="22"/>
      <c r="GC28" s="22"/>
      <c r="GD28" s="22"/>
      <c r="GE28" s="22" t="s">
        <v>79</v>
      </c>
      <c r="GF28" s="22"/>
      <c r="GG28" s="22"/>
      <c r="GH28" s="22"/>
      <c r="GI28" s="52"/>
      <c r="GJ28" s="52"/>
    </row>
    <row r="29" spans="1:192" s="51" customFormat="1" ht="13.8" customHeight="1" thickBot="1">
      <c r="A29" s="112"/>
      <c r="B29" s="652" t="s">
        <v>1</v>
      </c>
      <c r="C29" s="653"/>
      <c r="D29" s="652" t="s">
        <v>2</v>
      </c>
      <c r="E29" s="653"/>
      <c r="F29" s="683" t="s">
        <v>5</v>
      </c>
      <c r="G29" s="684"/>
      <c r="H29" s="683" t="s">
        <v>6</v>
      </c>
      <c r="I29" s="684"/>
      <c r="J29" s="683" t="s">
        <v>7</v>
      </c>
      <c r="K29" s="684"/>
      <c r="L29" s="683" t="s">
        <v>8</v>
      </c>
      <c r="M29" s="684"/>
      <c r="N29" s="112"/>
      <c r="O29" s="449" t="s">
        <v>2</v>
      </c>
      <c r="P29" s="451"/>
      <c r="Q29" s="690" t="s">
        <v>6</v>
      </c>
      <c r="R29" s="691"/>
      <c r="S29" s="690" t="s">
        <v>8</v>
      </c>
      <c r="T29" s="691"/>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70"/>
      <c r="AR29" s="489"/>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1"/>
      <c r="BQ29" s="170"/>
      <c r="BR29" s="170"/>
      <c r="BS29" s="437" t="str">
        <f>IF(AR28="",IF(AR30="",IF(AR32="","","平等割＋均等割半額"),"均等割半額"),"平等割半額")</f>
        <v/>
      </c>
      <c r="BT29" s="438"/>
      <c r="BU29" s="438"/>
      <c r="BV29" s="438"/>
      <c r="BW29" s="439"/>
      <c r="BX29" s="170"/>
      <c r="BY29" s="170"/>
      <c r="BZ29" s="133"/>
      <c r="CB29" s="590"/>
      <c r="CC29" s="78"/>
      <c r="CD29" s="153" t="s">
        <v>154</v>
      </c>
      <c r="CE29" s="559">
        <f>(IF(EG28&gt;0,DK28,0)+IF(EG29&gt;0,DK29,0)+IF(EG30&gt;0,DK30,0)+IF(EG31&gt;0,DK31,0)+IF(EG32&gt;0,DK32,0)+IF(EG33&gt;0,DK33,0))</f>
        <v>0</v>
      </c>
      <c r="CF29" s="559"/>
      <c r="CG29" s="559"/>
      <c r="CH29" s="102" t="s">
        <v>64</v>
      </c>
      <c r="CI29" s="163" t="s">
        <v>65</v>
      </c>
      <c r="CJ29" s="560">
        <f>IF(EG28&gt;0,IF(DK28&gt;=DQ28,DQ28,DK28),0)+IF(EG29&gt;0,IF(DK29&gt;=DQ29,DQ29,DK29),0)+IF(EG30&gt;0,IF(DK30&gt;=DQ30,DQ30,DK30),0)+IF(EG31&gt;0,IF(DK31&gt;=DQ31,DQ31,DK31),0)+IF(EG32&gt;0,IF(DK32&gt;=DQ32,DQ32,DK32),0)+IF(EG33&gt;0,IF(DK33&gt;=DQ33,DQ33,DK33),0)</f>
        <v>0</v>
      </c>
      <c r="CK29" s="560"/>
      <c r="CL29" s="560"/>
      <c r="CM29" s="21" t="s">
        <v>64</v>
      </c>
      <c r="CN29" s="21" t="s">
        <v>153</v>
      </c>
      <c r="CO29" s="561">
        <f>EA28</f>
        <v>8.1</v>
      </c>
      <c r="CP29" s="561"/>
      <c r="CQ29" s="163" t="s">
        <v>66</v>
      </c>
      <c r="CR29" s="562">
        <v>100</v>
      </c>
      <c r="CS29" s="562"/>
      <c r="CT29" s="163" t="str">
        <f>IF($GE34=$GE33,"＝","≒")</f>
        <v>＝</v>
      </c>
      <c r="CU29" s="563">
        <f>IF($GE34=$GE33,DY34,EG34)</f>
        <v>0</v>
      </c>
      <c r="CV29" s="563"/>
      <c r="CW29" s="563"/>
      <c r="CX29" s="21"/>
      <c r="CY29" s="21"/>
      <c r="CZ29" s="21"/>
      <c r="DA29" s="21"/>
      <c r="DB29" s="80"/>
      <c r="DD29" s="133"/>
      <c r="DF29" s="22">
        <f t="shared" ref="DF29:DF33" si="3">IF(DV29&gt;0,1,0)</f>
        <v>0</v>
      </c>
      <c r="DG29" s="564" t="s">
        <v>251</v>
      </c>
      <c r="DH29" s="564"/>
      <c r="DI29" s="564"/>
      <c r="DJ29" s="54" t="s">
        <v>154</v>
      </c>
      <c r="DK29" s="565">
        <f t="shared" si="2"/>
        <v>0</v>
      </c>
      <c r="DL29" s="565"/>
      <c r="DM29" s="565"/>
      <c r="DN29" s="565"/>
      <c r="DO29" s="22" t="s">
        <v>64</v>
      </c>
      <c r="DP29" s="160" t="s">
        <v>65</v>
      </c>
      <c r="DQ29" s="566">
        <f>料率!E38</f>
        <v>430000</v>
      </c>
      <c r="DR29" s="566"/>
      <c r="DS29" s="566"/>
      <c r="DT29" s="22" t="s">
        <v>64</v>
      </c>
      <c r="DU29" s="22" t="s">
        <v>165</v>
      </c>
      <c r="DV29" s="567">
        <f>IF(DK29-DQ29&lt;0,0,DK29-DQ29)</f>
        <v>0</v>
      </c>
      <c r="DW29" s="567"/>
      <c r="DX29" s="567"/>
      <c r="DY29" s="567"/>
      <c r="DZ29" s="22" t="s">
        <v>153</v>
      </c>
      <c r="EA29" s="574">
        <f>料率!B13</f>
        <v>8.1</v>
      </c>
      <c r="EB29" s="574"/>
      <c r="EC29" s="160" t="s">
        <v>66</v>
      </c>
      <c r="ED29" s="564">
        <v>100</v>
      </c>
      <c r="EE29" s="564"/>
      <c r="EF29" s="160" t="s">
        <v>67</v>
      </c>
      <c r="EG29" s="578">
        <f>IF(EF4=1,0,IF(DK29-DQ29&lt;0,0,ROUNDDOWN((DK29-DQ29)*EA29/ED29,0)))</f>
        <v>0</v>
      </c>
      <c r="EH29" s="578"/>
      <c r="EI29" s="578"/>
      <c r="EJ29" s="161"/>
      <c r="EK29" s="52"/>
      <c r="EL29" s="55" t="s">
        <v>254</v>
      </c>
      <c r="EM29" s="575">
        <f>IF(EB4=1,料率!F8,0)</f>
        <v>0</v>
      </c>
      <c r="EN29" s="576"/>
      <c r="EO29" s="577"/>
      <c r="EP29" s="62"/>
      <c r="EQ29" s="569">
        <f>IF(EB4=1,IF(EF4=1,IF(CY22="２割軽減",料率!F13-EU29,IF(CY22="７割軽減",料率!F8,IF(CY22="５割軽減",料率!F8,料率!F13))),料率!F8),0)</f>
        <v>0</v>
      </c>
      <c r="ER29" s="569"/>
      <c r="ES29" s="569"/>
      <c r="ET29" s="56"/>
      <c r="EU29" s="570">
        <f>IF(BA11=DM3,IF(CY22="７割軽減",料率!B18,IF(CY22="５割軽減",料率!F18,IF(CY22="２割軽減",料率!J18,0))),0)</f>
        <v>0</v>
      </c>
      <c r="EV29" s="570"/>
      <c r="EW29" s="570"/>
      <c r="EX29" s="56"/>
      <c r="EY29" s="570">
        <f>IF($BA$12=$DT$5,-ROUNDUP((EQ29+EU29)/2,0),0)</f>
        <v>0</v>
      </c>
      <c r="EZ29" s="570"/>
      <c r="FA29" s="570"/>
      <c r="FB29" s="56"/>
      <c r="FC29" s="570">
        <f t="shared" ref="FC29:FC33" si="4">IF(EL29=BK$24,IF(BP$24&gt;0,ROUNDUP((EG29+(EQ29+EU29))*BP$24/12,0),0),0)</f>
        <v>0</v>
      </c>
      <c r="FD29" s="571"/>
      <c r="FE29" s="572"/>
      <c r="FF29" s="56"/>
      <c r="FG29" s="52" t="s">
        <v>102</v>
      </c>
      <c r="FH29" s="52"/>
      <c r="FI29" s="52"/>
      <c r="FJ29" s="22"/>
      <c r="FK29" s="579">
        <f>EG34</f>
        <v>0</v>
      </c>
      <c r="FL29" s="580"/>
      <c r="FM29" s="580"/>
      <c r="FN29" s="581"/>
      <c r="FO29" s="160" t="s">
        <v>76</v>
      </c>
      <c r="FP29" s="579">
        <f>EM34</f>
        <v>35100</v>
      </c>
      <c r="FQ29" s="580"/>
      <c r="FR29" s="580"/>
      <c r="FS29" s="581"/>
      <c r="FT29" s="160" t="s">
        <v>76</v>
      </c>
      <c r="FU29" s="575">
        <f>FG32</f>
        <v>22600</v>
      </c>
      <c r="FV29" s="576"/>
      <c r="FW29" s="576"/>
      <c r="FX29" s="577"/>
      <c r="FY29" s="160" t="s">
        <v>67</v>
      </c>
      <c r="FZ29" s="579">
        <f>FK29+FP29+FU29</f>
        <v>57700</v>
      </c>
      <c r="GA29" s="580"/>
      <c r="GB29" s="580"/>
      <c r="GC29" s="581"/>
      <c r="GD29" s="160" t="s">
        <v>78</v>
      </c>
      <c r="GE29" s="575">
        <f>IF(FZ29&gt;料率!E41,料率!E41,ROUNDDOWN(FZ29,-2))</f>
        <v>57700</v>
      </c>
      <c r="GF29" s="576"/>
      <c r="GG29" s="576"/>
      <c r="GH29" s="577"/>
      <c r="GI29" s="52"/>
      <c r="GJ29" s="52"/>
    </row>
    <row r="30" spans="1:192" s="51" customFormat="1" ht="13.8" customHeight="1">
      <c r="A30" s="114"/>
      <c r="B30" s="670">
        <v>0</v>
      </c>
      <c r="C30" s="671"/>
      <c r="D30" s="670">
        <v>0</v>
      </c>
      <c r="E30" s="671"/>
      <c r="F30" s="685">
        <v>0</v>
      </c>
      <c r="G30" s="686"/>
      <c r="H30" s="685">
        <v>0</v>
      </c>
      <c r="I30" s="686"/>
      <c r="J30" s="685">
        <v>0</v>
      </c>
      <c r="K30" s="686"/>
      <c r="L30" s="685">
        <v>0</v>
      </c>
      <c r="M30" s="686"/>
      <c r="N30" s="114"/>
      <c r="O30" s="670">
        <v>0</v>
      </c>
      <c r="P30" s="671"/>
      <c r="Q30" s="685">
        <v>0</v>
      </c>
      <c r="R30" s="686"/>
      <c r="S30" s="685">
        <v>0</v>
      </c>
      <c r="T30" s="686"/>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70"/>
      <c r="AR30" s="486" t="str">
        <f>IF(SUM(ED3:ED8)&gt;0,IF(SUM(EF3:EF8)&lt;BB3,IF(SUM(EF3:EF8)&gt;0,"社保から後期高齢者に異動して、６５歳を含む被扶養者が国保に加入した世帯",""),""),"")</f>
        <v/>
      </c>
      <c r="AS30" s="487"/>
      <c r="AT30" s="487"/>
      <c r="AU30" s="487"/>
      <c r="AV30" s="487"/>
      <c r="AW30" s="487"/>
      <c r="AX30" s="487"/>
      <c r="AY30" s="487"/>
      <c r="AZ30" s="487"/>
      <c r="BA30" s="487"/>
      <c r="BB30" s="487"/>
      <c r="BC30" s="487"/>
      <c r="BD30" s="487"/>
      <c r="BE30" s="487"/>
      <c r="BF30" s="487"/>
      <c r="BG30" s="487"/>
      <c r="BH30" s="487"/>
      <c r="BI30" s="487"/>
      <c r="BJ30" s="487"/>
      <c r="BK30" s="487"/>
      <c r="BL30" s="487"/>
      <c r="BM30" s="487"/>
      <c r="BN30" s="487"/>
      <c r="BO30" s="487"/>
      <c r="BP30" s="488"/>
      <c r="BQ30" s="275" t="s">
        <v>318</v>
      </c>
      <c r="BR30" s="170"/>
      <c r="BS30" s="440"/>
      <c r="BT30" s="441"/>
      <c r="BU30" s="441"/>
      <c r="BV30" s="441"/>
      <c r="BW30" s="442"/>
      <c r="BX30" s="170"/>
      <c r="BY30" s="170"/>
      <c r="BZ30" s="133"/>
      <c r="CB30" s="590"/>
      <c r="CC30" s="85"/>
      <c r="CD30" s="86" t="str">
        <f>IF(SUM(EF3:EF8)&gt;0,"※社保の扶養が外れた６５歳以上の方は、当分の間所得割がかかりません","")</f>
        <v/>
      </c>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8"/>
      <c r="DD30" s="3" t="s">
        <v>218</v>
      </c>
      <c r="DF30" s="22">
        <f>IF(DV30&gt;0,1,0)</f>
        <v>0</v>
      </c>
      <c r="DG30" s="564" t="s">
        <v>63</v>
      </c>
      <c r="DH30" s="564"/>
      <c r="DI30" s="564"/>
      <c r="DJ30" s="54" t="s">
        <v>154</v>
      </c>
      <c r="DK30" s="565">
        <f t="shared" si="2"/>
        <v>0</v>
      </c>
      <c r="DL30" s="565"/>
      <c r="DM30" s="565"/>
      <c r="DN30" s="565"/>
      <c r="DO30" s="22" t="s">
        <v>64</v>
      </c>
      <c r="DP30" s="160" t="s">
        <v>65</v>
      </c>
      <c r="DQ30" s="566">
        <f>料率!E38</f>
        <v>430000</v>
      </c>
      <c r="DR30" s="566"/>
      <c r="DS30" s="566"/>
      <c r="DT30" s="22" t="s">
        <v>64</v>
      </c>
      <c r="DU30" s="22" t="s">
        <v>165</v>
      </c>
      <c r="DV30" s="567">
        <f t="shared" ref="DV30:DV33" si="5">IF(DK30-DQ30&lt;0,0,DK30-DQ30)</f>
        <v>0</v>
      </c>
      <c r="DW30" s="567"/>
      <c r="DX30" s="567"/>
      <c r="DY30" s="567"/>
      <c r="DZ30" s="22" t="s">
        <v>153</v>
      </c>
      <c r="EA30" s="574">
        <f>料率!B13</f>
        <v>8.1</v>
      </c>
      <c r="EB30" s="574"/>
      <c r="EC30" s="160" t="s">
        <v>66</v>
      </c>
      <c r="ED30" s="564">
        <v>100</v>
      </c>
      <c r="EE30" s="564"/>
      <c r="EF30" s="160" t="s">
        <v>67</v>
      </c>
      <c r="EG30" s="578">
        <f t="shared" ref="EG30:EG33" si="6">IF(EF5=1,0,IF(DK30-DQ30&lt;0,0,ROUNDDOWN((DK30-DQ30)*EA30/ED30,0)))</f>
        <v>0</v>
      </c>
      <c r="EH30" s="578"/>
      <c r="EI30" s="578"/>
      <c r="EJ30" s="161"/>
      <c r="EK30" s="52"/>
      <c r="EL30" s="55" t="s">
        <v>136</v>
      </c>
      <c r="EM30" s="565">
        <f>IF(EB5=1,料率!F8,0)</f>
        <v>0</v>
      </c>
      <c r="EN30" s="565"/>
      <c r="EO30" s="565"/>
      <c r="EP30" s="62"/>
      <c r="EQ30" s="569">
        <f>IF(EB5=1,IF(EF5=1,IF(CY22="２割軽減",料率!F13-EU30,IF(CY22="７割軽減",料率!F8,IF(CY22="５割軽減",料率!F8,料率!F13))),料率!F8),0)</f>
        <v>0</v>
      </c>
      <c r="ER30" s="569"/>
      <c r="ES30" s="569"/>
      <c r="ET30" s="56"/>
      <c r="EU30" s="570">
        <f>IF(BF11=DM3,IF(CY22="７割軽減",料率!B18,IF(CY22="５割軽減",料率!F18,IF(CY22="２割軽減",料率!J18,0))),0)</f>
        <v>0</v>
      </c>
      <c r="EV30" s="570"/>
      <c r="EW30" s="570"/>
      <c r="EX30" s="56"/>
      <c r="EY30" s="570">
        <f>IF($BF$12=$DT$5,-ROUNDUP((EQ30+EU30)/2,0),0)</f>
        <v>0</v>
      </c>
      <c r="EZ30" s="570"/>
      <c r="FA30" s="570"/>
      <c r="FB30" s="56"/>
      <c r="FC30" s="570">
        <f t="shared" si="4"/>
        <v>0</v>
      </c>
      <c r="FD30" s="571"/>
      <c r="FE30" s="572"/>
      <c r="FF30" s="56"/>
      <c r="FG30" s="582">
        <f>IF(CY23="平等割半額",IF(CY22="７割軽減",料率!O18,IF(CY22="５割軽減",料率!Q18,IF(CY22="２割軽減",料率!S18,0))),IF(CY23="平等割＋均等割半額",0,IF(CY22="７割軽減",料率!D18,IF(CY22="５割軽減",料率!H18,IF(CY22="２割軽減",料率!L18,0)))))</f>
        <v>-15820</v>
      </c>
      <c r="FH30" s="571"/>
      <c r="FI30" s="572"/>
      <c r="FJ30" s="2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row>
    <row r="31" spans="1:192" s="51" customFormat="1" ht="13.8" customHeight="1" thickBot="1">
      <c r="A31" s="114"/>
      <c r="B31" s="114"/>
      <c r="C31" s="114"/>
      <c r="D31" s="114"/>
      <c r="E31" s="114"/>
      <c r="F31" s="114"/>
      <c r="G31" s="114"/>
      <c r="H31" s="114"/>
      <c r="I31" s="114"/>
      <c r="J31" s="114"/>
      <c r="K31" s="114"/>
      <c r="L31" s="114"/>
      <c r="M31" s="114"/>
      <c r="N31" s="114"/>
      <c r="O31" s="109"/>
      <c r="P31" s="109"/>
      <c r="Q31" s="109"/>
      <c r="R31" s="109"/>
      <c r="S31" s="120"/>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70"/>
      <c r="AR31" s="489"/>
      <c r="AS31" s="490"/>
      <c r="AT31" s="490"/>
      <c r="AU31" s="490"/>
      <c r="AV31" s="490"/>
      <c r="AW31" s="490"/>
      <c r="AX31" s="490"/>
      <c r="AY31" s="490"/>
      <c r="AZ31" s="490"/>
      <c r="BA31" s="490"/>
      <c r="BB31" s="490"/>
      <c r="BC31" s="490"/>
      <c r="BD31" s="490"/>
      <c r="BE31" s="490"/>
      <c r="BF31" s="490"/>
      <c r="BG31" s="490"/>
      <c r="BH31" s="490"/>
      <c r="BI31" s="490"/>
      <c r="BJ31" s="490"/>
      <c r="BK31" s="490"/>
      <c r="BL31" s="490"/>
      <c r="BM31" s="490"/>
      <c r="BN31" s="490"/>
      <c r="BO31" s="490"/>
      <c r="BP31" s="491"/>
      <c r="BQ31" s="170"/>
      <c r="BR31" s="170"/>
      <c r="BS31" s="440"/>
      <c r="BT31" s="441"/>
      <c r="BU31" s="441"/>
      <c r="BV31" s="441"/>
      <c r="BW31" s="442"/>
      <c r="BX31" s="170"/>
      <c r="BY31" s="170"/>
      <c r="BZ31" s="133"/>
      <c r="CB31" s="590"/>
      <c r="CC31" s="81"/>
      <c r="CD31" s="82" t="s">
        <v>172</v>
      </c>
      <c r="CE31" s="82"/>
      <c r="CF31" s="82"/>
      <c r="CG31" s="82" t="s">
        <v>163</v>
      </c>
      <c r="CH31" s="82"/>
      <c r="CI31" s="82"/>
      <c r="CJ31" s="82"/>
      <c r="CK31" s="82"/>
      <c r="CL31" s="82"/>
      <c r="CM31" s="82"/>
      <c r="CN31" s="82"/>
      <c r="CO31" s="82"/>
      <c r="CP31" s="82"/>
      <c r="CQ31" s="82"/>
      <c r="CR31" s="82"/>
      <c r="CS31" s="82"/>
      <c r="CT31" s="82"/>
      <c r="CU31" s="82"/>
      <c r="CV31" s="82"/>
      <c r="CW31" s="82"/>
      <c r="CX31" s="82"/>
      <c r="CY31" s="82"/>
      <c r="CZ31" s="82"/>
      <c r="DA31" s="82"/>
      <c r="DB31" s="89"/>
      <c r="DD31" s="133"/>
      <c r="DF31" s="22">
        <f t="shared" si="3"/>
        <v>0</v>
      </c>
      <c r="DG31" s="564" t="s">
        <v>68</v>
      </c>
      <c r="DH31" s="564"/>
      <c r="DI31" s="564"/>
      <c r="DJ31" s="54" t="s">
        <v>154</v>
      </c>
      <c r="DK31" s="565">
        <f t="shared" si="2"/>
        <v>0</v>
      </c>
      <c r="DL31" s="565"/>
      <c r="DM31" s="565"/>
      <c r="DN31" s="565"/>
      <c r="DO31" s="22" t="s">
        <v>64</v>
      </c>
      <c r="DP31" s="160" t="s">
        <v>65</v>
      </c>
      <c r="DQ31" s="566">
        <f>料率!E38</f>
        <v>430000</v>
      </c>
      <c r="DR31" s="566"/>
      <c r="DS31" s="566"/>
      <c r="DT31" s="22" t="s">
        <v>64</v>
      </c>
      <c r="DU31" s="22" t="s">
        <v>165</v>
      </c>
      <c r="DV31" s="567">
        <f t="shared" si="5"/>
        <v>0</v>
      </c>
      <c r="DW31" s="567"/>
      <c r="DX31" s="567"/>
      <c r="DY31" s="567"/>
      <c r="DZ31" s="22" t="s">
        <v>153</v>
      </c>
      <c r="EA31" s="574">
        <f>料率!B13</f>
        <v>8.1</v>
      </c>
      <c r="EB31" s="574"/>
      <c r="EC31" s="160" t="s">
        <v>66</v>
      </c>
      <c r="ED31" s="564">
        <v>100</v>
      </c>
      <c r="EE31" s="564"/>
      <c r="EF31" s="160" t="s">
        <v>67</v>
      </c>
      <c r="EG31" s="578">
        <f t="shared" si="6"/>
        <v>0</v>
      </c>
      <c r="EH31" s="578"/>
      <c r="EI31" s="578"/>
      <c r="EJ31" s="161"/>
      <c r="EK31" s="52"/>
      <c r="EL31" s="55" t="s">
        <v>137</v>
      </c>
      <c r="EM31" s="565">
        <f>IF(EB6=1,料率!F8,0)</f>
        <v>0</v>
      </c>
      <c r="EN31" s="565"/>
      <c r="EO31" s="565"/>
      <c r="EP31" s="62"/>
      <c r="EQ31" s="569">
        <f>IF(EB6=1,IF(EF6=1,IF(CY22="２割軽減",料率!F13-EU31,IF(CY22="７割軽減",料率!F8,IF(CY22="５割軽減",料率!F8,料率!F13))),料率!F8),0)</f>
        <v>0</v>
      </c>
      <c r="ER31" s="569"/>
      <c r="ES31" s="569"/>
      <c r="ET31" s="56"/>
      <c r="EU31" s="570">
        <f>IF(BK11=DM3,IF(CY22="７割軽減",料率!B18,IF(CY22="５割軽減",料率!F18,IF(CY22="２割軽減",料率!J18,0))),0)</f>
        <v>0</v>
      </c>
      <c r="EV31" s="570"/>
      <c r="EW31" s="570"/>
      <c r="EX31" s="56"/>
      <c r="EY31" s="570">
        <f>IF($BK$12=$DT$5,-ROUNDUP((EQ31+EU31)/2,0),0)</f>
        <v>0</v>
      </c>
      <c r="EZ31" s="570"/>
      <c r="FA31" s="570"/>
      <c r="FB31" s="56"/>
      <c r="FC31" s="570">
        <f t="shared" si="4"/>
        <v>0</v>
      </c>
      <c r="FD31" s="571"/>
      <c r="FE31" s="572"/>
      <c r="FF31" s="56"/>
      <c r="FG31" s="22" t="s">
        <v>149</v>
      </c>
      <c r="FH31" s="22"/>
      <c r="FI31" s="22"/>
      <c r="FJ31" s="22"/>
      <c r="FK31" s="98" t="s">
        <v>186</v>
      </c>
      <c r="FL31" s="22"/>
      <c r="FM31" s="4"/>
      <c r="FN31" s="10"/>
      <c r="FO31" s="58"/>
      <c r="FP31" s="58"/>
      <c r="FQ31" s="58"/>
      <c r="FR31" s="58"/>
      <c r="FS31" s="59"/>
      <c r="FT31" s="59"/>
      <c r="FU31" s="59"/>
      <c r="FV31" s="58"/>
      <c r="FW31" s="59"/>
      <c r="FX31" s="59"/>
      <c r="FY31" s="59"/>
      <c r="FZ31" s="58"/>
      <c r="GA31" s="59"/>
      <c r="GB31" s="59"/>
      <c r="GC31" s="59"/>
      <c r="GD31" s="56"/>
      <c r="GE31" s="60"/>
      <c r="GF31" s="60"/>
      <c r="GG31" s="60"/>
      <c r="GH31" s="52"/>
      <c r="GI31" s="52"/>
      <c r="GJ31" s="52"/>
    </row>
    <row r="32" spans="1:192" s="51" customFormat="1" ht="13.8" customHeight="1" thickBot="1">
      <c r="A32" s="114"/>
      <c r="B32" s="114"/>
      <c r="C32" s="114"/>
      <c r="D32" s="114"/>
      <c r="E32" s="114"/>
      <c r="F32" s="114"/>
      <c r="G32" s="114"/>
      <c r="H32" s="114"/>
      <c r="I32" s="114"/>
      <c r="J32" s="112"/>
      <c r="K32" s="112"/>
      <c r="L32" s="112"/>
      <c r="M32" s="112"/>
      <c r="N32" s="114"/>
      <c r="O32" s="109"/>
      <c r="P32" s="109"/>
      <c r="Q32" s="109"/>
      <c r="R32" s="104"/>
      <c r="S32" s="109"/>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70"/>
      <c r="AR32" s="486" t="str">
        <f>IF(SUM(ED3:ED8)&gt;0,IF(SUM(EF3:EF8)=BB3,"社保から後期高齢者に異動して、６５歳のみの被扶養者が国保に加入した世帯",""),"")</f>
        <v/>
      </c>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8"/>
      <c r="BQ32" s="170"/>
      <c r="BR32" s="170"/>
      <c r="BS32" s="443"/>
      <c r="BT32" s="444"/>
      <c r="BU32" s="444"/>
      <c r="BV32" s="444"/>
      <c r="BW32" s="445"/>
      <c r="BX32" s="170"/>
      <c r="BY32" s="170"/>
      <c r="BZ32" s="133"/>
      <c r="CB32" s="590"/>
      <c r="CC32" s="85"/>
      <c r="CD32" s="90" t="s">
        <v>154</v>
      </c>
      <c r="CE32" s="101">
        <f>CE21</f>
        <v>1</v>
      </c>
      <c r="CF32" s="100" t="s">
        <v>151</v>
      </c>
      <c r="CG32" s="166" t="s">
        <v>150</v>
      </c>
      <c r="CH32" s="598">
        <f>料率!F8</f>
        <v>35100</v>
      </c>
      <c r="CI32" s="598"/>
      <c r="CJ32" s="598"/>
      <c r="CK32" s="90" t="s">
        <v>64</v>
      </c>
      <c r="CL32" s="90" t="s">
        <v>161</v>
      </c>
      <c r="CM32" s="599">
        <f>CE32*CH32-CI26</f>
        <v>24570</v>
      </c>
      <c r="CN32" s="599"/>
      <c r="CO32" s="599"/>
      <c r="CP32" s="90" t="s">
        <v>64</v>
      </c>
      <c r="CQ32" s="90" t="s">
        <v>67</v>
      </c>
      <c r="CR32" s="598">
        <f>EQ34+EU34+EY34</f>
        <v>10530</v>
      </c>
      <c r="CS32" s="600"/>
      <c r="CT32" s="600"/>
      <c r="CU32" s="600"/>
      <c r="CV32" s="87"/>
      <c r="CW32" s="87"/>
      <c r="CX32" s="87"/>
      <c r="CY32" s="87"/>
      <c r="CZ32" s="87"/>
      <c r="DA32" s="87"/>
      <c r="DB32" s="88"/>
      <c r="DD32" s="133"/>
      <c r="DF32" s="22">
        <f t="shared" si="3"/>
        <v>0</v>
      </c>
      <c r="DG32" s="564" t="s">
        <v>69</v>
      </c>
      <c r="DH32" s="564"/>
      <c r="DI32" s="564"/>
      <c r="DJ32" s="54" t="s">
        <v>154</v>
      </c>
      <c r="DK32" s="565">
        <f t="shared" si="2"/>
        <v>0</v>
      </c>
      <c r="DL32" s="565"/>
      <c r="DM32" s="565"/>
      <c r="DN32" s="565"/>
      <c r="DO32" s="22" t="s">
        <v>64</v>
      </c>
      <c r="DP32" s="160" t="s">
        <v>65</v>
      </c>
      <c r="DQ32" s="566">
        <f>料率!E38</f>
        <v>430000</v>
      </c>
      <c r="DR32" s="566"/>
      <c r="DS32" s="566"/>
      <c r="DT32" s="22" t="s">
        <v>64</v>
      </c>
      <c r="DU32" s="22" t="s">
        <v>165</v>
      </c>
      <c r="DV32" s="567">
        <f t="shared" si="5"/>
        <v>0</v>
      </c>
      <c r="DW32" s="567"/>
      <c r="DX32" s="567"/>
      <c r="DY32" s="567"/>
      <c r="DZ32" s="22" t="s">
        <v>153</v>
      </c>
      <c r="EA32" s="574">
        <f>料率!B13</f>
        <v>8.1</v>
      </c>
      <c r="EB32" s="574"/>
      <c r="EC32" s="160" t="s">
        <v>66</v>
      </c>
      <c r="ED32" s="564">
        <v>100</v>
      </c>
      <c r="EE32" s="564"/>
      <c r="EF32" s="160" t="s">
        <v>67</v>
      </c>
      <c r="EG32" s="578">
        <f t="shared" si="6"/>
        <v>0</v>
      </c>
      <c r="EH32" s="578"/>
      <c r="EI32" s="578"/>
      <c r="EJ32" s="161"/>
      <c r="EK32" s="52"/>
      <c r="EL32" s="55" t="s">
        <v>138</v>
      </c>
      <c r="EM32" s="565">
        <f>IF(EB7=1,料率!F8,0)</f>
        <v>0</v>
      </c>
      <c r="EN32" s="565"/>
      <c r="EO32" s="565"/>
      <c r="EP32" s="62"/>
      <c r="EQ32" s="569">
        <f>IF(EB7=1,IF(EF7=1,IF(CY22="２割軽減",料率!F13-EU32,IF(CY22="７割軽減",料率!F8,IF(CY22="５割軽減",料率!F8,料率!F13))),料率!F8),0)</f>
        <v>0</v>
      </c>
      <c r="ER32" s="569"/>
      <c r="ES32" s="569"/>
      <c r="ET32" s="56"/>
      <c r="EU32" s="570">
        <f>IF(BP11=DM3,IF(CY22="７割軽減",料率!B18,IF(CY22="５割軽減",料率!F18,IF(CY22="２割軽減",料率!J18,0))),0)</f>
        <v>0</v>
      </c>
      <c r="EV32" s="570"/>
      <c r="EW32" s="570"/>
      <c r="EX32" s="56"/>
      <c r="EY32" s="570">
        <f>IF($BP$12=$DT$5,-ROUNDUP((EQ32+EU32)/2,0),0)</f>
        <v>0</v>
      </c>
      <c r="EZ32" s="570"/>
      <c r="FA32" s="570"/>
      <c r="FB32" s="56"/>
      <c r="FC32" s="570">
        <f t="shared" si="4"/>
        <v>0</v>
      </c>
      <c r="FD32" s="571"/>
      <c r="FE32" s="572"/>
      <c r="FF32" s="56"/>
      <c r="FG32" s="575">
        <f>IF(CY23="平等割半額",料率!I13,料率!I8)</f>
        <v>22600</v>
      </c>
      <c r="FH32" s="576"/>
      <c r="FI32" s="577"/>
      <c r="FJ32" s="52"/>
      <c r="FK32" s="22" t="s">
        <v>22</v>
      </c>
      <c r="FL32" s="22"/>
      <c r="FM32" s="22"/>
      <c r="FN32" s="22"/>
      <c r="FO32" s="22"/>
      <c r="FP32" s="22" t="s">
        <v>75</v>
      </c>
      <c r="FQ32" s="22"/>
      <c r="FR32" s="22"/>
      <c r="FS32" s="22"/>
      <c r="FT32" s="22" t="s">
        <v>77</v>
      </c>
      <c r="FU32" s="22"/>
      <c r="FV32" s="22"/>
      <c r="FW32" s="22"/>
      <c r="FX32" s="22"/>
      <c r="FY32" s="22"/>
      <c r="FZ32" s="22" t="s">
        <v>23</v>
      </c>
      <c r="GA32" s="22"/>
      <c r="GB32" s="22"/>
      <c r="GC32" s="22"/>
      <c r="GD32" s="22"/>
      <c r="GE32" s="22" t="s">
        <v>79</v>
      </c>
      <c r="GF32" s="22"/>
      <c r="GG32" s="22"/>
      <c r="GH32" s="52"/>
      <c r="GI32" s="52"/>
      <c r="GJ32" s="52"/>
    </row>
    <row r="33" spans="1:193" s="51" customFormat="1" ht="13.8" customHeight="1" thickBot="1">
      <c r="A33" s="111" t="s">
        <v>193</v>
      </c>
      <c r="B33" s="113"/>
      <c r="C33" s="111"/>
      <c r="D33" s="104"/>
      <c r="E33" s="104"/>
      <c r="F33" s="104"/>
      <c r="G33" s="104"/>
      <c r="H33" s="104"/>
      <c r="I33" s="104"/>
      <c r="J33" s="110"/>
      <c r="K33" s="110"/>
      <c r="L33" s="110"/>
      <c r="M33" s="110"/>
      <c r="N33" s="10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70"/>
      <c r="AR33" s="489"/>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1"/>
      <c r="BQ33" s="170"/>
      <c r="BR33" s="170"/>
      <c r="BS33" s="634" t="str">
        <f>IF(BS29="","",IF(BO3="","",IF(BO3="２割軽減",IF(BS29="平等割半額","","※２割軽減は半額軽減に非該当の方のみ該当します。"),IF(BS29="平等割半額","","※７割・５割軽減世帯の場合は、軽減が優先されるため半額措置されません。"))))</f>
        <v/>
      </c>
      <c r="BT33" s="634"/>
      <c r="BU33" s="634"/>
      <c r="BV33" s="634"/>
      <c r="BW33" s="634"/>
      <c r="BX33" s="634"/>
      <c r="BY33" s="634"/>
      <c r="BZ33" s="133"/>
      <c r="CB33" s="590"/>
      <c r="CC33" s="78"/>
      <c r="CD33" s="21" t="s">
        <v>173</v>
      </c>
      <c r="CE33" s="21"/>
      <c r="CF33" s="21"/>
      <c r="CG33" s="21" t="s">
        <v>164</v>
      </c>
      <c r="CH33" s="21"/>
      <c r="CI33" s="21"/>
      <c r="CJ33" s="21"/>
      <c r="CK33" s="21"/>
      <c r="CL33" s="21"/>
      <c r="CM33" s="21"/>
      <c r="CN33" s="21"/>
      <c r="CO33" s="21"/>
      <c r="CP33" s="21"/>
      <c r="CQ33" s="21"/>
      <c r="CR33" s="21"/>
      <c r="CS33" s="21"/>
      <c r="CT33" s="21"/>
      <c r="CU33" s="21"/>
      <c r="CV33" s="21"/>
      <c r="CW33" s="21"/>
      <c r="CX33" s="21"/>
      <c r="CY33" s="21"/>
      <c r="CZ33" s="21"/>
      <c r="DA33" s="21"/>
      <c r="DB33" s="79"/>
      <c r="DD33" s="133"/>
      <c r="DF33" s="22">
        <f t="shared" si="3"/>
        <v>0</v>
      </c>
      <c r="DG33" s="564" t="s">
        <v>70</v>
      </c>
      <c r="DH33" s="564"/>
      <c r="DI33" s="564"/>
      <c r="DJ33" s="54" t="s">
        <v>154</v>
      </c>
      <c r="DK33" s="565">
        <f t="shared" si="2"/>
        <v>0</v>
      </c>
      <c r="DL33" s="565"/>
      <c r="DM33" s="565"/>
      <c r="DN33" s="565"/>
      <c r="DO33" s="22" t="s">
        <v>64</v>
      </c>
      <c r="DP33" s="160" t="s">
        <v>65</v>
      </c>
      <c r="DQ33" s="566">
        <f>料率!E38</f>
        <v>430000</v>
      </c>
      <c r="DR33" s="566"/>
      <c r="DS33" s="566"/>
      <c r="DT33" s="22" t="s">
        <v>64</v>
      </c>
      <c r="DU33" s="22" t="s">
        <v>165</v>
      </c>
      <c r="DV33" s="567">
        <f t="shared" si="5"/>
        <v>0</v>
      </c>
      <c r="DW33" s="567"/>
      <c r="DX33" s="567"/>
      <c r="DY33" s="567"/>
      <c r="DZ33" s="22" t="s">
        <v>153</v>
      </c>
      <c r="EA33" s="574">
        <f>料率!B13</f>
        <v>8.1</v>
      </c>
      <c r="EB33" s="574"/>
      <c r="EC33" s="160" t="s">
        <v>66</v>
      </c>
      <c r="ED33" s="564">
        <v>100</v>
      </c>
      <c r="EE33" s="564"/>
      <c r="EF33" s="160" t="s">
        <v>67</v>
      </c>
      <c r="EG33" s="578">
        <f t="shared" si="6"/>
        <v>0</v>
      </c>
      <c r="EH33" s="578"/>
      <c r="EI33" s="578"/>
      <c r="EJ33" s="161"/>
      <c r="EK33" s="52"/>
      <c r="EL33" s="62" t="s">
        <v>139</v>
      </c>
      <c r="EM33" s="565">
        <f>IF(EB8=1,料率!F8,0)</f>
        <v>0</v>
      </c>
      <c r="EN33" s="565"/>
      <c r="EO33" s="565"/>
      <c r="EP33" s="62"/>
      <c r="EQ33" s="569">
        <f>IF(EB8=1,IF(EF8=1,IF(CY22="２割軽減",料率!F13-EU33,IF(CY22="７割軽減",料率!F8,IF(CY22="５割軽減",料率!F8,料率!F13))),料率!F8),0)</f>
        <v>0</v>
      </c>
      <c r="ER33" s="569"/>
      <c r="ES33" s="569"/>
      <c r="ET33" s="56"/>
      <c r="EU33" s="570">
        <f>IF(BU11=DM3,IF(CY22="７割軽減",料率!B18,IF(CY22="５割軽減",料率!F18,IF(CY22="２割軽減",料率!J18,0))),0)</f>
        <v>0</v>
      </c>
      <c r="EV33" s="570"/>
      <c r="EW33" s="570"/>
      <c r="EX33" s="56"/>
      <c r="EY33" s="570">
        <f>IF($BU$12=$DT$5,-ROUNDUP((EQ33+EU33)/2,0),0)</f>
        <v>0</v>
      </c>
      <c r="EZ33" s="570"/>
      <c r="FA33" s="570"/>
      <c r="FB33" s="56"/>
      <c r="FC33" s="570">
        <f t="shared" si="4"/>
        <v>0</v>
      </c>
      <c r="FD33" s="571"/>
      <c r="FE33" s="572"/>
      <c r="FF33" s="56"/>
      <c r="FG33" s="52"/>
      <c r="FH33" s="52"/>
      <c r="FI33" s="52"/>
      <c r="FJ33" s="97" t="s">
        <v>188</v>
      </c>
      <c r="FK33" s="579">
        <f>EG34</f>
        <v>0</v>
      </c>
      <c r="FL33" s="580"/>
      <c r="FM33" s="580"/>
      <c r="FN33" s="581"/>
      <c r="FO33" s="160" t="s">
        <v>76</v>
      </c>
      <c r="FP33" s="579">
        <f>EQ34+EU34+EY34</f>
        <v>10530</v>
      </c>
      <c r="FQ33" s="580"/>
      <c r="FR33" s="580"/>
      <c r="FS33" s="581"/>
      <c r="FT33" s="160" t="s">
        <v>76</v>
      </c>
      <c r="FU33" s="575">
        <f>FG28+FG30</f>
        <v>6780</v>
      </c>
      <c r="FV33" s="576"/>
      <c r="FW33" s="576"/>
      <c r="FX33" s="577"/>
      <c r="FY33" s="160" t="s">
        <v>67</v>
      </c>
      <c r="FZ33" s="579">
        <f>FK33+FP33+FU33</f>
        <v>17310</v>
      </c>
      <c r="GA33" s="580"/>
      <c r="GB33" s="580"/>
      <c r="GC33" s="581"/>
      <c r="GD33" s="160" t="s">
        <v>78</v>
      </c>
      <c r="GE33" s="575">
        <f>IF(FZ33&gt;料率!E41,料率!E41,ROUNDDOWN(FZ33,-2))</f>
        <v>17300</v>
      </c>
      <c r="GF33" s="576"/>
      <c r="GG33" s="576"/>
      <c r="GH33" s="577"/>
      <c r="GI33" s="52" t="s">
        <v>134</v>
      </c>
      <c r="GJ33" s="52"/>
    </row>
    <row r="34" spans="1:193" s="51" customFormat="1" ht="13.8" customHeight="1">
      <c r="A34" s="114"/>
      <c r="B34" s="707" t="s">
        <v>9</v>
      </c>
      <c r="C34" s="707"/>
      <c r="D34" s="707"/>
      <c r="E34" s="708">
        <v>430000</v>
      </c>
      <c r="F34" s="708"/>
      <c r="G34" s="708"/>
      <c r="H34" s="708"/>
      <c r="I34" s="104"/>
      <c r="J34" s="687" t="s">
        <v>24</v>
      </c>
      <c r="K34" s="687"/>
      <c r="L34" s="687"/>
      <c r="M34" s="687"/>
      <c r="N34" s="682">
        <v>150000</v>
      </c>
      <c r="O34" s="682"/>
      <c r="P34" s="682"/>
      <c r="Q34" s="10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70"/>
      <c r="BS34" s="634"/>
      <c r="BT34" s="634"/>
      <c r="BU34" s="634"/>
      <c r="BV34" s="634"/>
      <c r="BW34" s="634"/>
      <c r="BX34" s="634"/>
      <c r="BY34" s="634"/>
      <c r="BZ34" s="133"/>
      <c r="CB34" s="591"/>
      <c r="CC34" s="91"/>
      <c r="CD34" s="61" t="s">
        <v>154</v>
      </c>
      <c r="CE34" s="57"/>
      <c r="CF34" s="92"/>
      <c r="CG34" s="61" t="s">
        <v>152</v>
      </c>
      <c r="CH34" s="583">
        <f>料率!I8</f>
        <v>22600</v>
      </c>
      <c r="CI34" s="583"/>
      <c r="CJ34" s="583"/>
      <c r="CK34" s="61" t="s">
        <v>64</v>
      </c>
      <c r="CL34" s="61" t="s">
        <v>161</v>
      </c>
      <c r="CM34" s="584">
        <f>CH34-CN26</f>
        <v>15820</v>
      </c>
      <c r="CN34" s="584"/>
      <c r="CO34" s="584"/>
      <c r="CP34" s="61" t="s">
        <v>64</v>
      </c>
      <c r="CQ34" s="61" t="s">
        <v>67</v>
      </c>
      <c r="CR34" s="583">
        <f>FG28+FG30</f>
        <v>6780</v>
      </c>
      <c r="CS34" s="384"/>
      <c r="CT34" s="384"/>
      <c r="CU34" s="384"/>
      <c r="CV34" s="57"/>
      <c r="CW34" s="57"/>
      <c r="CX34" s="57"/>
      <c r="CY34" s="57"/>
      <c r="CZ34" s="57"/>
      <c r="DA34" s="57"/>
      <c r="DB34" s="93"/>
      <c r="DD34" s="133"/>
      <c r="DF34" s="52"/>
      <c r="DG34" s="52"/>
      <c r="DH34" s="52"/>
      <c r="DI34" s="52"/>
      <c r="DJ34" s="52"/>
      <c r="DK34" s="52"/>
      <c r="DL34" s="52"/>
      <c r="DM34" s="52"/>
      <c r="DN34" s="52"/>
      <c r="DO34" s="52"/>
      <c r="DP34" s="52"/>
      <c r="DQ34" s="52"/>
      <c r="DR34" s="52"/>
      <c r="DS34" s="52"/>
      <c r="DT34" s="52"/>
      <c r="DU34" s="52"/>
      <c r="DV34" s="52"/>
      <c r="DW34" s="22"/>
      <c r="DX34" s="54" t="s">
        <v>177</v>
      </c>
      <c r="DY34" s="585">
        <f>ROUNDDOWN((IF(EG28&gt;0,DV28,0)+IF(EG29&gt;0,DV29,0)+IF(EG30&gt;0,DV30,0)+IF(EG31&gt;0,DV31,0)+IF(EG32&gt;0,DV32,0)+IF(EG33&gt;0,DV33,0))*EA28/100,0)</f>
        <v>0</v>
      </c>
      <c r="DZ34" s="585"/>
      <c r="EA34" s="585"/>
      <c r="EB34" s="52"/>
      <c r="EC34" s="52"/>
      <c r="ED34" s="52"/>
      <c r="EE34" s="22"/>
      <c r="EF34" s="54" t="s">
        <v>80</v>
      </c>
      <c r="EG34" s="585">
        <f>EG28+EG29+EG30+EG31+EG32+EG33</f>
        <v>0</v>
      </c>
      <c r="EH34" s="585"/>
      <c r="EI34" s="585"/>
      <c r="EJ34" s="167"/>
      <c r="EK34" s="52"/>
      <c r="EL34" s="54" t="s">
        <v>148</v>
      </c>
      <c r="EM34" s="587">
        <f>EM28+EM29+EM30+EM31+EM32+EM33</f>
        <v>35100</v>
      </c>
      <c r="EN34" s="588"/>
      <c r="EO34" s="588"/>
      <c r="EP34" s="63"/>
      <c r="EQ34" s="569">
        <f>SUM(EQ28:ES33)</f>
        <v>35100</v>
      </c>
      <c r="ER34" s="569"/>
      <c r="ES34" s="569"/>
      <c r="ET34" s="56"/>
      <c r="EU34" s="570">
        <f>SUM(EU28:EW33)</f>
        <v>-24570</v>
      </c>
      <c r="EV34" s="586"/>
      <c r="EW34" s="586"/>
      <c r="EX34" s="52"/>
      <c r="EY34" s="570">
        <f>SUM(EY28:FA33)</f>
        <v>0</v>
      </c>
      <c r="EZ34" s="586"/>
      <c r="FA34" s="586"/>
      <c r="FB34" s="52"/>
      <c r="FC34" s="570">
        <f>SUM(FC28:FE33)</f>
        <v>0</v>
      </c>
      <c r="FD34" s="586"/>
      <c r="FE34" s="586"/>
      <c r="FF34" s="52"/>
      <c r="FG34" s="52"/>
      <c r="FH34" s="52"/>
      <c r="FI34" s="52"/>
      <c r="FJ34" s="97" t="s">
        <v>189</v>
      </c>
      <c r="FK34" s="579">
        <f>DY34</f>
        <v>0</v>
      </c>
      <c r="FL34" s="580"/>
      <c r="FM34" s="580"/>
      <c r="FN34" s="581"/>
      <c r="FO34" s="160" t="s">
        <v>76</v>
      </c>
      <c r="FP34" s="579">
        <f>EQ34+EU34+EY34</f>
        <v>10530</v>
      </c>
      <c r="FQ34" s="580"/>
      <c r="FR34" s="580"/>
      <c r="FS34" s="581"/>
      <c r="FT34" s="160" t="s">
        <v>76</v>
      </c>
      <c r="FU34" s="575">
        <f>FG28+FG30</f>
        <v>6780</v>
      </c>
      <c r="FV34" s="576"/>
      <c r="FW34" s="576"/>
      <c r="FX34" s="577"/>
      <c r="FY34" s="160" t="s">
        <v>67</v>
      </c>
      <c r="FZ34" s="579">
        <f>FK34+FP34+FU34</f>
        <v>17310</v>
      </c>
      <c r="GA34" s="580"/>
      <c r="GB34" s="580"/>
      <c r="GC34" s="581"/>
      <c r="GD34" s="160" t="s">
        <v>78</v>
      </c>
      <c r="GE34" s="575">
        <f>IF(FZ34&gt;料率!E41,料率!E41,ROUNDDOWN(FZ34,-2))</f>
        <v>17300</v>
      </c>
      <c r="GF34" s="576"/>
      <c r="GG34" s="576"/>
      <c r="GH34" s="577"/>
      <c r="GI34" s="99">
        <f>GE33-GE34</f>
        <v>0</v>
      </c>
      <c r="GJ34" s="52"/>
    </row>
    <row r="35" spans="1:193" s="51" customFormat="1" ht="13.8" customHeight="1">
      <c r="A35" s="114"/>
      <c r="B35" s="709" t="s">
        <v>10</v>
      </c>
      <c r="C35" s="709"/>
      <c r="D35" s="709"/>
      <c r="E35" s="710">
        <v>305000</v>
      </c>
      <c r="F35" s="710"/>
      <c r="G35" s="710"/>
      <c r="H35" s="710"/>
      <c r="I35" s="104"/>
      <c r="J35" s="687"/>
      <c r="K35" s="687"/>
      <c r="L35" s="687"/>
      <c r="M35" s="687"/>
      <c r="N35" s="682"/>
      <c r="O35" s="682"/>
      <c r="P35" s="682"/>
      <c r="Q35" s="10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70"/>
      <c r="BS35" s="634"/>
      <c r="BT35" s="634"/>
      <c r="BU35" s="634"/>
      <c r="BV35" s="634"/>
      <c r="BW35" s="634"/>
      <c r="BX35" s="634"/>
      <c r="BY35" s="634"/>
      <c r="BZ35" s="133"/>
      <c r="CB35" s="21"/>
      <c r="DD35" s="133"/>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34"/>
      <c r="FK35" s="52"/>
      <c r="FL35" s="22"/>
      <c r="FM35" s="4"/>
      <c r="FN35" s="10"/>
      <c r="FO35" s="52"/>
      <c r="FP35" s="52"/>
      <c r="FQ35" s="52"/>
      <c r="FR35" s="52"/>
      <c r="FS35" s="52"/>
      <c r="FT35" s="52"/>
      <c r="FU35" s="52"/>
      <c r="FV35" s="52"/>
      <c r="FW35" s="52"/>
      <c r="FX35" s="52"/>
      <c r="FY35" s="52"/>
      <c r="FZ35" s="52"/>
      <c r="GA35" s="52"/>
      <c r="GB35" s="52"/>
      <c r="GC35" s="52"/>
      <c r="GD35" s="52"/>
      <c r="GE35" s="52"/>
      <c r="GF35" s="52"/>
      <c r="GG35" s="52"/>
      <c r="GH35" s="52"/>
      <c r="GI35" s="52"/>
      <c r="GJ35" s="52"/>
    </row>
    <row r="36" spans="1:193" s="51" customFormat="1" ht="13.8" customHeight="1">
      <c r="A36" s="114"/>
      <c r="B36" s="711" t="s">
        <v>11</v>
      </c>
      <c r="C36" s="711"/>
      <c r="D36" s="711"/>
      <c r="E36" s="710">
        <v>560000</v>
      </c>
      <c r="F36" s="710"/>
      <c r="G36" s="710"/>
      <c r="H36" s="710"/>
      <c r="I36" s="104"/>
      <c r="J36" s="104"/>
      <c r="K36" s="104"/>
      <c r="L36" s="104"/>
      <c r="M36" s="104"/>
      <c r="N36" s="104"/>
      <c r="O36" s="104"/>
      <c r="P36" s="104"/>
      <c r="Q36" s="10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70"/>
      <c r="BS36" s="634"/>
      <c r="BT36" s="634"/>
      <c r="BU36" s="634"/>
      <c r="BV36" s="634"/>
      <c r="BW36" s="634"/>
      <c r="BX36" s="634"/>
      <c r="BY36" s="634"/>
      <c r="BZ36" s="133"/>
      <c r="CB36" s="606" t="s">
        <v>59</v>
      </c>
      <c r="CC36" s="53"/>
      <c r="CD36" s="53" t="s">
        <v>22</v>
      </c>
      <c r="CE36" s="53"/>
      <c r="CF36" s="53"/>
      <c r="CG36" s="53"/>
      <c r="CH36" s="53"/>
      <c r="CI36" s="53" t="s">
        <v>75</v>
      </c>
      <c r="CJ36" s="53"/>
      <c r="CK36" s="53"/>
      <c r="CL36" s="53"/>
      <c r="CM36" s="53" t="s">
        <v>77</v>
      </c>
      <c r="CN36" s="53"/>
      <c r="CO36" s="53"/>
      <c r="CP36" s="53"/>
      <c r="CQ36" s="53"/>
      <c r="CR36" s="53"/>
      <c r="CS36" s="53" t="s">
        <v>23</v>
      </c>
      <c r="CT36" s="53"/>
      <c r="CU36" s="53"/>
      <c r="CV36" s="53"/>
      <c r="CW36" s="53"/>
      <c r="CX36" s="53" t="s">
        <v>155</v>
      </c>
      <c r="CY36" s="53"/>
      <c r="CZ36" s="53"/>
      <c r="DA36" s="53"/>
      <c r="DB36" s="77"/>
      <c r="DD36" s="134"/>
      <c r="DE36" s="21"/>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4"/>
      <c r="FN36" s="10"/>
      <c r="FO36" s="52"/>
      <c r="FP36" s="52"/>
      <c r="FQ36" s="52"/>
      <c r="FR36" s="52"/>
      <c r="FS36" s="52"/>
      <c r="FT36" s="52"/>
      <c r="FU36" s="52"/>
      <c r="FV36" s="52"/>
      <c r="FW36" s="52"/>
      <c r="FX36" s="52"/>
      <c r="FY36" s="52"/>
      <c r="FZ36" s="52"/>
      <c r="GA36" s="52"/>
      <c r="GB36" s="52"/>
      <c r="GC36" s="52"/>
      <c r="GD36" s="52"/>
      <c r="GE36" s="52"/>
      <c r="GF36" s="52"/>
      <c r="GG36" s="52"/>
      <c r="GH36" s="52"/>
      <c r="GI36" s="52"/>
      <c r="GJ36" s="52"/>
    </row>
    <row r="37" spans="1:193" s="51" customFormat="1" ht="13.8" customHeight="1">
      <c r="A37" s="114"/>
      <c r="B37" s="110"/>
      <c r="C37" s="110"/>
      <c r="D37" s="110"/>
      <c r="E37" s="104"/>
      <c r="F37" s="104"/>
      <c r="G37" s="104"/>
      <c r="H37" s="104"/>
      <c r="I37" s="104"/>
      <c r="J37" s="712" t="s">
        <v>109</v>
      </c>
      <c r="K37" s="713"/>
      <c r="L37" s="713"/>
      <c r="M37" s="714"/>
      <c r="N37" s="676">
        <v>180000</v>
      </c>
      <c r="O37" s="677"/>
      <c r="P37" s="678"/>
      <c r="Q37" s="10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70"/>
      <c r="BZ37" s="133"/>
      <c r="CB37" s="607"/>
      <c r="CC37" s="21"/>
      <c r="CD37" s="592">
        <f>IF($GE45=$GE44,DY45,EG45)</f>
        <v>0</v>
      </c>
      <c r="CE37" s="609"/>
      <c r="CF37" s="609"/>
      <c r="CG37" s="610"/>
      <c r="CH37" s="163" t="s">
        <v>76</v>
      </c>
      <c r="CI37" s="592">
        <f>EQ45+EU45+EY45</f>
        <v>3540</v>
      </c>
      <c r="CJ37" s="609"/>
      <c r="CK37" s="609"/>
      <c r="CL37" s="610"/>
      <c r="CM37" s="163" t="s">
        <v>76</v>
      </c>
      <c r="CN37" s="595">
        <f>FG39+FG41</f>
        <v>2280</v>
      </c>
      <c r="CO37" s="596"/>
      <c r="CP37" s="596"/>
      <c r="CQ37" s="597"/>
      <c r="CR37" s="163" t="s">
        <v>67</v>
      </c>
      <c r="CS37" s="592">
        <f>CD37+CI37+CN37</f>
        <v>5820</v>
      </c>
      <c r="CT37" s="609"/>
      <c r="CU37" s="609"/>
      <c r="CV37" s="610"/>
      <c r="CW37" s="163" t="s">
        <v>78</v>
      </c>
      <c r="CX37" s="595">
        <f>IF(CS37&gt;料率!E43,料率!E43,ROUNDDOWN(CS37,-2))</f>
        <v>5800</v>
      </c>
      <c r="CY37" s="596"/>
      <c r="CZ37" s="596"/>
      <c r="DA37" s="597"/>
      <c r="DB37" s="79"/>
      <c r="DD37" s="134"/>
      <c r="DF37" s="98" t="s">
        <v>126</v>
      </c>
      <c r="DG37" s="22"/>
      <c r="DH37" s="22"/>
      <c r="DI37" s="22"/>
      <c r="DJ37" s="22"/>
      <c r="DK37" s="22"/>
      <c r="DL37" s="601" t="s">
        <v>17</v>
      </c>
      <c r="DM37" s="602"/>
      <c r="DN37" s="602"/>
      <c r="DO37" s="603"/>
      <c r="DP37" s="576">
        <f>EQ$9</f>
        <v>0</v>
      </c>
      <c r="DQ37" s="576"/>
      <c r="DR37" s="576"/>
      <c r="DS37" s="577"/>
      <c r="DT37" s="22"/>
      <c r="DU37" s="5"/>
      <c r="DV37" s="5"/>
      <c r="DW37" s="5"/>
      <c r="DX37" s="5"/>
      <c r="DY37" s="5"/>
      <c r="DZ37" s="5"/>
      <c r="EA37" s="52"/>
      <c r="EB37" s="52"/>
      <c r="EC37" s="22"/>
      <c r="ED37" s="52"/>
      <c r="EE37" s="52"/>
      <c r="EF37" s="52"/>
      <c r="EG37" s="52"/>
      <c r="EH37" s="52"/>
      <c r="EI37" s="52"/>
      <c r="EJ37" s="52"/>
      <c r="EK37" s="52"/>
      <c r="EL37" s="5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4"/>
      <c r="FN37" s="10"/>
      <c r="FO37" s="52"/>
      <c r="FP37" s="52"/>
      <c r="FQ37" s="52"/>
      <c r="FR37" s="52"/>
      <c r="FS37" s="52"/>
      <c r="FT37" s="52"/>
      <c r="FU37" s="52"/>
      <c r="FV37" s="52"/>
      <c r="FW37" s="52"/>
      <c r="FX37" s="52"/>
      <c r="FY37" s="52"/>
      <c r="FZ37" s="52"/>
      <c r="GA37" s="52"/>
      <c r="GB37" s="52"/>
      <c r="GC37" s="52"/>
      <c r="GD37" s="52"/>
      <c r="GE37" s="52"/>
      <c r="GF37" s="52"/>
      <c r="GG37" s="52"/>
      <c r="GH37" s="52"/>
      <c r="GI37" s="52"/>
      <c r="GJ37" s="52"/>
    </row>
    <row r="38" spans="1:193" s="51" customFormat="1" ht="13.8" customHeight="1">
      <c r="A38" s="114"/>
      <c r="B38" s="705" t="s">
        <v>25</v>
      </c>
      <c r="C38" s="705"/>
      <c r="D38" s="705"/>
      <c r="E38" s="706">
        <v>430000</v>
      </c>
      <c r="F38" s="706"/>
      <c r="G38" s="706"/>
      <c r="H38" s="706"/>
      <c r="I38" s="104"/>
      <c r="J38" s="715"/>
      <c r="K38" s="716"/>
      <c r="L38" s="716"/>
      <c r="M38" s="717"/>
      <c r="N38" s="679"/>
      <c r="O38" s="680"/>
      <c r="P38" s="681"/>
      <c r="Q38" s="10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70"/>
      <c r="BZ38" s="133"/>
      <c r="CB38" s="607"/>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80"/>
      <c r="DD38" s="134"/>
      <c r="DE38" s="21"/>
      <c r="DF38" s="52" t="s">
        <v>166</v>
      </c>
      <c r="DG38" s="52"/>
      <c r="DH38" s="52"/>
      <c r="DI38" s="52"/>
      <c r="DJ38" s="52"/>
      <c r="DK38" s="52"/>
      <c r="DL38" s="52"/>
      <c r="DM38" s="52"/>
      <c r="DN38" s="52"/>
      <c r="DO38" s="52"/>
      <c r="DP38" s="52"/>
      <c r="DQ38" s="52"/>
      <c r="DR38" s="52"/>
      <c r="DS38" s="52"/>
      <c r="DT38" s="52"/>
      <c r="DU38" s="52"/>
      <c r="DV38" s="52"/>
      <c r="DW38" s="52"/>
      <c r="DX38" s="52"/>
      <c r="DY38" s="52"/>
      <c r="DZ38" s="52"/>
      <c r="EA38" s="52"/>
      <c r="EB38" s="52"/>
      <c r="EC38" s="22"/>
      <c r="ED38" s="22"/>
      <c r="EE38" s="22"/>
      <c r="EF38" s="22"/>
      <c r="EG38" s="22"/>
      <c r="EH38" s="22"/>
      <c r="EI38" s="22"/>
      <c r="EJ38" s="22"/>
      <c r="EK38" s="22"/>
      <c r="EL38" s="22"/>
      <c r="EM38" s="52" t="s">
        <v>167</v>
      </c>
      <c r="EN38" s="52"/>
      <c r="EO38" s="22"/>
      <c r="EP38" s="22"/>
      <c r="EQ38" s="36" t="s">
        <v>180</v>
      </c>
      <c r="ER38" s="52"/>
      <c r="ES38" s="52"/>
      <c r="ET38" s="52"/>
      <c r="EU38" s="52" t="s">
        <v>181</v>
      </c>
      <c r="EV38" s="52"/>
      <c r="EW38" s="52"/>
      <c r="EX38" s="52"/>
      <c r="EY38" s="52" t="s">
        <v>182</v>
      </c>
      <c r="EZ38" s="52"/>
      <c r="FA38" s="52"/>
      <c r="FB38" s="52"/>
      <c r="FC38" s="52" t="s">
        <v>239</v>
      </c>
      <c r="FD38" s="52"/>
      <c r="FE38" s="52"/>
      <c r="FF38" s="22"/>
      <c r="FG38" s="52" t="s">
        <v>168</v>
      </c>
      <c r="FH38" s="52"/>
      <c r="FI38" s="52"/>
      <c r="FJ38" s="22"/>
      <c r="FK38" s="22" t="s">
        <v>179</v>
      </c>
      <c r="FL38" s="22"/>
      <c r="FM38" s="4"/>
      <c r="FN38" s="10"/>
      <c r="FO38" s="52"/>
      <c r="FP38" s="52"/>
      <c r="FQ38" s="52"/>
      <c r="FR38" s="52"/>
      <c r="FS38" s="52"/>
      <c r="FT38" s="52"/>
      <c r="FU38" s="52"/>
      <c r="FV38" s="52"/>
      <c r="FW38" s="52"/>
      <c r="FX38" s="52"/>
      <c r="FY38" s="52"/>
      <c r="FZ38" s="52"/>
      <c r="GA38" s="52"/>
      <c r="GB38" s="52"/>
      <c r="GC38" s="52"/>
      <c r="GD38" s="52"/>
      <c r="GE38" s="52"/>
      <c r="GF38" s="52"/>
      <c r="GG38" s="52"/>
      <c r="GH38" s="52"/>
      <c r="GI38" s="52"/>
      <c r="GJ38" s="52"/>
    </row>
    <row r="39" spans="1:193" s="51" customFormat="1" ht="13.8" customHeight="1">
      <c r="A39" s="114"/>
      <c r="B39" s="110"/>
      <c r="C39" s="110"/>
      <c r="D39" s="110"/>
      <c r="E39" s="104"/>
      <c r="F39" s="104"/>
      <c r="G39" s="104"/>
      <c r="H39" s="104"/>
      <c r="I39" s="104"/>
      <c r="J39" s="104"/>
      <c r="K39" s="104"/>
      <c r="L39" s="104"/>
      <c r="M39" s="104"/>
      <c r="N39" s="104"/>
      <c r="O39" s="104"/>
      <c r="P39" s="104"/>
      <c r="Q39" s="10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70"/>
      <c r="BZ39" s="133"/>
      <c r="CB39" s="607"/>
      <c r="CC39" s="81"/>
      <c r="CD39" s="82" t="s">
        <v>171</v>
      </c>
      <c r="CE39" s="82"/>
      <c r="CF39" s="82"/>
      <c r="CG39" s="82" t="s">
        <v>249</v>
      </c>
      <c r="CH39" s="82"/>
      <c r="CI39" s="82"/>
      <c r="CJ39" s="82"/>
      <c r="CK39" s="82"/>
      <c r="CL39" s="82"/>
      <c r="CM39" s="82"/>
      <c r="CN39" s="82"/>
      <c r="CO39" s="82"/>
      <c r="CP39" s="82"/>
      <c r="CQ39" s="82"/>
      <c r="CR39" s="82"/>
      <c r="CS39" s="82"/>
      <c r="CT39" s="82"/>
      <c r="CU39" s="82"/>
      <c r="CV39" s="82"/>
      <c r="CW39" s="82"/>
      <c r="CX39" s="82"/>
      <c r="CY39" s="82"/>
      <c r="CZ39" s="83"/>
      <c r="DA39" s="83"/>
      <c r="DB39" s="84"/>
      <c r="DD39" s="133"/>
      <c r="DE39" s="21"/>
      <c r="DF39" s="22">
        <f>IF(DV39&gt;0,1,0)</f>
        <v>0</v>
      </c>
      <c r="DG39" s="573" t="str">
        <f>IF(AU11=DF3,DF3,"擬制世帯主")</f>
        <v>世帯主</v>
      </c>
      <c r="DH39" s="573"/>
      <c r="DI39" s="573"/>
      <c r="DJ39" s="54" t="s">
        <v>154</v>
      </c>
      <c r="DK39" s="565">
        <f t="shared" ref="DK39:DK44" si="7">EQ3</f>
        <v>0</v>
      </c>
      <c r="DL39" s="565"/>
      <c r="DM39" s="565"/>
      <c r="DN39" s="565"/>
      <c r="DO39" s="22" t="s">
        <v>64</v>
      </c>
      <c r="DP39" s="160" t="s">
        <v>65</v>
      </c>
      <c r="DQ39" s="605">
        <f>料率!E38</f>
        <v>430000</v>
      </c>
      <c r="DR39" s="605"/>
      <c r="DS39" s="605"/>
      <c r="DT39" s="22" t="s">
        <v>64</v>
      </c>
      <c r="DU39" s="22" t="s">
        <v>165</v>
      </c>
      <c r="DV39" s="567">
        <f>IF(DK39-DQ39&lt;0,0,DK39-DQ39)</f>
        <v>0</v>
      </c>
      <c r="DW39" s="567"/>
      <c r="DX39" s="567"/>
      <c r="DY39" s="567"/>
      <c r="DZ39" s="22" t="s">
        <v>153</v>
      </c>
      <c r="EA39" s="574">
        <f>料率!V8</f>
        <v>2.7</v>
      </c>
      <c r="EB39" s="574"/>
      <c r="EC39" s="160" t="s">
        <v>66</v>
      </c>
      <c r="ED39" s="564">
        <v>100</v>
      </c>
      <c r="EE39" s="564"/>
      <c r="EF39" s="160" t="s">
        <v>67</v>
      </c>
      <c r="EG39" s="568">
        <f t="shared" ref="EG39:EG43" si="8">IF(EF3=1,0,IF(DK39-DQ39&lt;0,0,ROUNDDOWN((DK39-DQ39)*EA39/ED39,0)))</f>
        <v>0</v>
      </c>
      <c r="EH39" s="568"/>
      <c r="EI39" s="568"/>
      <c r="EJ39" s="129"/>
      <c r="EK39" s="22"/>
      <c r="EL39" s="62" t="s">
        <v>71</v>
      </c>
      <c r="EM39" s="565">
        <f>IF(EB3=1,料率!Z8,0)</f>
        <v>11800</v>
      </c>
      <c r="EN39" s="565"/>
      <c r="EO39" s="565"/>
      <c r="EP39" s="62"/>
      <c r="EQ39" s="569">
        <f>IF(EB3=1,IF(EF3=1,IF(CY22="２割軽減",料率!Z13-EU39,IF(CY22="７割軽減",料率!Z8,IF(CY22="５割軽減",料率!Z8,料率!Z13))),料率!Z8),0)</f>
        <v>11800</v>
      </c>
      <c r="ER39" s="569"/>
      <c r="ES39" s="569"/>
      <c r="ET39" s="56"/>
      <c r="EU39" s="570">
        <f>IF(AU11=DF3,IF(CY22="７割軽減",料率!B26,IF(CY22="５割軽減",料率!F26,IF(CY22="２割軽減",料率!J26,0))),0)</f>
        <v>-8260</v>
      </c>
      <c r="EV39" s="570"/>
      <c r="EW39" s="570"/>
      <c r="EX39" s="56"/>
      <c r="EY39" s="570">
        <f>IF($AU$12=$DT$5,-ROUNDUP((EQ39+EU39)/2,0),0)</f>
        <v>0</v>
      </c>
      <c r="EZ39" s="570"/>
      <c r="FA39" s="570"/>
      <c r="FB39" s="56"/>
      <c r="FC39" s="570">
        <f>IF(EL39=BK$24,IF(BP$24&gt;0,ROUNDUP((EG39+(EQ39+EU39))*BP$24/12,0),0),0)</f>
        <v>0</v>
      </c>
      <c r="FD39" s="571"/>
      <c r="FE39" s="572"/>
      <c r="FF39" s="22"/>
      <c r="FG39" s="558">
        <f>IF(CY23="平等割＋均等割半額",料率!AC13,FG43)</f>
        <v>7600</v>
      </c>
      <c r="FH39" s="611"/>
      <c r="FI39" s="611"/>
      <c r="FJ39" s="22"/>
      <c r="FK39" s="22" t="s">
        <v>22</v>
      </c>
      <c r="FL39" s="22"/>
      <c r="FM39" s="22"/>
      <c r="FN39" s="22"/>
      <c r="FO39" s="22"/>
      <c r="FP39" s="22" t="s">
        <v>75</v>
      </c>
      <c r="FQ39" s="22"/>
      <c r="FR39" s="22"/>
      <c r="FS39" s="22"/>
      <c r="FT39" s="22" t="s">
        <v>77</v>
      </c>
      <c r="FU39" s="22"/>
      <c r="FV39" s="22"/>
      <c r="FW39" s="22"/>
      <c r="FX39" s="22"/>
      <c r="FY39" s="22"/>
      <c r="FZ39" s="22" t="s">
        <v>23</v>
      </c>
      <c r="GA39" s="22"/>
      <c r="GB39" s="22"/>
      <c r="GC39" s="22"/>
      <c r="GD39" s="22"/>
      <c r="GE39" s="22" t="s">
        <v>81</v>
      </c>
      <c r="GF39" s="22"/>
      <c r="GG39" s="22"/>
      <c r="GH39" s="22"/>
      <c r="GI39" s="52"/>
      <c r="GJ39" s="52"/>
    </row>
    <row r="40" spans="1:193" s="51" customFormat="1" ht="13.8" customHeight="1">
      <c r="A40" s="114"/>
      <c r="B40" s="112" t="s">
        <v>26</v>
      </c>
      <c r="C40" s="112"/>
      <c r="D40" s="110"/>
      <c r="E40" s="104"/>
      <c r="F40" s="104"/>
      <c r="G40" s="104"/>
      <c r="H40" s="104"/>
      <c r="I40" s="104"/>
      <c r="J40" s="104"/>
      <c r="K40" s="104"/>
      <c r="L40" s="104"/>
      <c r="M40" s="104"/>
      <c r="N40" s="104"/>
      <c r="O40" s="104"/>
      <c r="P40" s="104"/>
      <c r="Q40" s="10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70"/>
      <c r="BZ40" s="133"/>
      <c r="CB40" s="607"/>
      <c r="CC40" s="78"/>
      <c r="CD40" s="153" t="s">
        <v>154</v>
      </c>
      <c r="CE40" s="559">
        <f>(IF(EG39&gt;0,DK39,0)+IF(EG40&gt;0,DK40,0)+IF(EG41&gt;0,DK41,0)+IF(EG42&gt;0,DK42,0)+IF(EG43&gt;0,DK43,0)+IF(EG44&gt;0,DK44,0))</f>
        <v>0</v>
      </c>
      <c r="CF40" s="559"/>
      <c r="CG40" s="559"/>
      <c r="CH40" s="102" t="s">
        <v>64</v>
      </c>
      <c r="CI40" s="189" t="s">
        <v>65</v>
      </c>
      <c r="CJ40" s="560">
        <f>IF(EG39&gt;0,IF(DK39&gt;=DQ39,DQ39,DK39),0)+IF(EG40&gt;0,IF(DK40&gt;=DQ40,DQ40,DK40),0)+IF(EG41&gt;0,IF(DK41&gt;=DQ41,DQ41,DK41),0)+IF(EG42&gt;0,IF(DK42&gt;=DQ42,DQ42,DK42),0)+IF(EG43&gt;0,IF(DK43&gt;=DQ43,DQ43,DK43),0)+IF(EG44&gt;0,IF(DK44&gt;=DQ44,DQ44,DK44),0)</f>
        <v>0</v>
      </c>
      <c r="CK40" s="560"/>
      <c r="CL40" s="560"/>
      <c r="CM40" s="21" t="s">
        <v>64</v>
      </c>
      <c r="CN40" s="21" t="s">
        <v>153</v>
      </c>
      <c r="CO40" s="561">
        <f>EA39</f>
        <v>2.7</v>
      </c>
      <c r="CP40" s="561"/>
      <c r="CQ40" s="189" t="s">
        <v>66</v>
      </c>
      <c r="CR40" s="562">
        <v>100</v>
      </c>
      <c r="CS40" s="562"/>
      <c r="CT40" s="189" t="str">
        <f>IF($GE45=$GE44,"＝","≒")</f>
        <v>＝</v>
      </c>
      <c r="CU40" s="563">
        <f>IF($GE45=$GE44,DY45,EG45)</f>
        <v>0</v>
      </c>
      <c r="CV40" s="563"/>
      <c r="CW40" s="563"/>
      <c r="CX40" s="21"/>
      <c r="CY40" s="21"/>
      <c r="CZ40" s="21"/>
      <c r="DA40" s="21"/>
      <c r="DB40" s="80"/>
      <c r="DD40" s="133"/>
      <c r="DE40" s="21"/>
      <c r="DF40" s="22">
        <f>IF(DV40&gt;0,1,0)</f>
        <v>0</v>
      </c>
      <c r="DG40" s="564" t="s">
        <v>251</v>
      </c>
      <c r="DH40" s="564"/>
      <c r="DI40" s="564"/>
      <c r="DJ40" s="54" t="s">
        <v>154</v>
      </c>
      <c r="DK40" s="575">
        <f t="shared" si="7"/>
        <v>0</v>
      </c>
      <c r="DL40" s="576"/>
      <c r="DM40" s="576"/>
      <c r="DN40" s="577"/>
      <c r="DO40" s="22" t="s">
        <v>64</v>
      </c>
      <c r="DP40" s="160" t="s">
        <v>65</v>
      </c>
      <c r="DQ40" s="566">
        <f>料率!E38</f>
        <v>430000</v>
      </c>
      <c r="DR40" s="566"/>
      <c r="DS40" s="566"/>
      <c r="DT40" s="22" t="s">
        <v>64</v>
      </c>
      <c r="DU40" s="22" t="s">
        <v>165</v>
      </c>
      <c r="DV40" s="567">
        <f t="shared" ref="DV40:DV44" si="9">IF(DK40-DQ40&lt;0,0,DK40-DQ40)</f>
        <v>0</v>
      </c>
      <c r="DW40" s="567"/>
      <c r="DX40" s="567"/>
      <c r="DY40" s="567"/>
      <c r="DZ40" s="22" t="s">
        <v>153</v>
      </c>
      <c r="EA40" s="574">
        <f>料率!V8</f>
        <v>2.7</v>
      </c>
      <c r="EB40" s="574"/>
      <c r="EC40" s="160" t="s">
        <v>66</v>
      </c>
      <c r="ED40" s="564">
        <v>100</v>
      </c>
      <c r="EE40" s="564"/>
      <c r="EF40" s="160" t="s">
        <v>67</v>
      </c>
      <c r="EG40" s="568">
        <f t="shared" si="8"/>
        <v>0</v>
      </c>
      <c r="EH40" s="568"/>
      <c r="EI40" s="568"/>
      <c r="EJ40" s="129"/>
      <c r="EK40" s="22"/>
      <c r="EL40" s="55" t="s">
        <v>254</v>
      </c>
      <c r="EM40" s="565">
        <f>IF(EB4=1,料率!Z8,0)</f>
        <v>0</v>
      </c>
      <c r="EN40" s="565"/>
      <c r="EO40" s="565"/>
      <c r="EP40" s="62"/>
      <c r="EQ40" s="612">
        <f>IF(EB4=1,IF(EF4=1,IF(CY22="２割軽減",料率!Z13-EU40,IF(CY22="７割軽減",料率!Z8,IF(CY22="５割軽減",料率!Z8,料率!Z13))),料率!Z8),0)</f>
        <v>0</v>
      </c>
      <c r="ER40" s="613"/>
      <c r="ES40" s="614"/>
      <c r="ET40" s="56"/>
      <c r="EU40" s="570">
        <f>IF(BA11=DM3,IF(CY22="７割軽減",料率!B26,IF(CY22="５割軽減",料率!F26,IF(CY22="２割軽減",料率!J26,0))),0)</f>
        <v>0</v>
      </c>
      <c r="EV40" s="570"/>
      <c r="EW40" s="570"/>
      <c r="EX40" s="56"/>
      <c r="EY40" s="570">
        <f>IF($BA$12=$DT$5,-ROUNDUP((EQ40+EU40)/2,0),0)</f>
        <v>0</v>
      </c>
      <c r="EZ40" s="570"/>
      <c r="FA40" s="570"/>
      <c r="FB40" s="56"/>
      <c r="FC40" s="570">
        <f t="shared" ref="FC39:FC44" si="10">IF(EL40=BK$24,IF(BP$24&gt;0,ROUNDUP((EG40+(EQ40+EU40))*BP$24/12,0),0),0)</f>
        <v>0</v>
      </c>
      <c r="FD40" s="571"/>
      <c r="FE40" s="572"/>
      <c r="FF40" s="52"/>
      <c r="FG40" s="52" t="s">
        <v>102</v>
      </c>
      <c r="FH40" s="52"/>
      <c r="FI40" s="52"/>
      <c r="FJ40" s="52"/>
      <c r="FK40" s="579">
        <f>EG45</f>
        <v>0</v>
      </c>
      <c r="FL40" s="580"/>
      <c r="FM40" s="580"/>
      <c r="FN40" s="581"/>
      <c r="FO40" s="160" t="s">
        <v>76</v>
      </c>
      <c r="FP40" s="579">
        <f>EM45</f>
        <v>11800</v>
      </c>
      <c r="FQ40" s="580"/>
      <c r="FR40" s="580"/>
      <c r="FS40" s="581"/>
      <c r="FT40" s="160" t="s">
        <v>76</v>
      </c>
      <c r="FU40" s="575">
        <f>FG43</f>
        <v>7600</v>
      </c>
      <c r="FV40" s="576"/>
      <c r="FW40" s="576"/>
      <c r="FX40" s="577"/>
      <c r="FY40" s="160" t="s">
        <v>67</v>
      </c>
      <c r="FZ40" s="579">
        <f>FK40+FP40+FU40</f>
        <v>19400</v>
      </c>
      <c r="GA40" s="580"/>
      <c r="GB40" s="580"/>
      <c r="GC40" s="581"/>
      <c r="GD40" s="160" t="s">
        <v>78</v>
      </c>
      <c r="GE40" s="575">
        <f>IF(FZ40&gt;料率!E43,料率!E43,ROUNDDOWN(FZ40,-2))</f>
        <v>19400</v>
      </c>
      <c r="GF40" s="576"/>
      <c r="GG40" s="576"/>
      <c r="GH40" s="577"/>
      <c r="GI40" s="22"/>
      <c r="GJ40" s="22"/>
      <c r="GK40" s="21"/>
    </row>
    <row r="41" spans="1:193" s="51" customFormat="1" ht="13.8" customHeight="1">
      <c r="A41" s="114"/>
      <c r="B41" s="704" t="s">
        <v>12</v>
      </c>
      <c r="C41" s="704"/>
      <c r="D41" s="704"/>
      <c r="E41" s="703">
        <v>660000</v>
      </c>
      <c r="F41" s="703"/>
      <c r="G41" s="703"/>
      <c r="H41" s="703"/>
      <c r="I41" s="104"/>
      <c r="J41" s="104"/>
      <c r="K41" s="104"/>
      <c r="L41" s="104"/>
      <c r="M41" s="104"/>
      <c r="N41" s="104"/>
      <c r="O41" s="104"/>
      <c r="P41" s="10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70"/>
      <c r="BZ41" s="133"/>
      <c r="CB41" s="607"/>
      <c r="CC41" s="85"/>
      <c r="CD41" s="86" t="str">
        <f>IF(SUM(EF3:EF8)&gt;0,"※社保の扶養が外れた６５歳以上の方は、当分の間所得割がかかりません","")</f>
        <v/>
      </c>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94"/>
      <c r="DD41" s="3" t="s">
        <v>218</v>
      </c>
      <c r="DE41" s="21"/>
      <c r="DF41" s="22">
        <f>IF(DV41&gt;0,1,0)</f>
        <v>0</v>
      </c>
      <c r="DG41" s="564" t="s">
        <v>63</v>
      </c>
      <c r="DH41" s="564"/>
      <c r="DI41" s="564"/>
      <c r="DJ41" s="54" t="s">
        <v>154</v>
      </c>
      <c r="DK41" s="575">
        <f t="shared" si="7"/>
        <v>0</v>
      </c>
      <c r="DL41" s="576"/>
      <c r="DM41" s="576"/>
      <c r="DN41" s="577"/>
      <c r="DO41" s="22" t="s">
        <v>64</v>
      </c>
      <c r="DP41" s="160" t="s">
        <v>65</v>
      </c>
      <c r="DQ41" s="566">
        <f>料率!E38</f>
        <v>430000</v>
      </c>
      <c r="DR41" s="566"/>
      <c r="DS41" s="566"/>
      <c r="DT41" s="22" t="s">
        <v>64</v>
      </c>
      <c r="DU41" s="22" t="s">
        <v>165</v>
      </c>
      <c r="DV41" s="567">
        <f t="shared" si="9"/>
        <v>0</v>
      </c>
      <c r="DW41" s="567"/>
      <c r="DX41" s="567"/>
      <c r="DY41" s="567"/>
      <c r="DZ41" s="22" t="s">
        <v>153</v>
      </c>
      <c r="EA41" s="574">
        <f>料率!V8</f>
        <v>2.7</v>
      </c>
      <c r="EB41" s="574"/>
      <c r="EC41" s="160" t="s">
        <v>66</v>
      </c>
      <c r="ED41" s="564">
        <v>100</v>
      </c>
      <c r="EE41" s="564"/>
      <c r="EF41" s="160" t="s">
        <v>67</v>
      </c>
      <c r="EG41" s="568">
        <f t="shared" si="8"/>
        <v>0</v>
      </c>
      <c r="EH41" s="568"/>
      <c r="EI41" s="568"/>
      <c r="EJ41" s="129"/>
      <c r="EK41" s="22"/>
      <c r="EL41" s="55" t="s">
        <v>136</v>
      </c>
      <c r="EM41" s="565">
        <f>IF(EB5=1,料率!Z8,0)</f>
        <v>0</v>
      </c>
      <c r="EN41" s="565"/>
      <c r="EO41" s="565"/>
      <c r="EP41" s="62"/>
      <c r="EQ41" s="569">
        <f>IF(EB5=1,IF(EF5=1,IF(CY22="２割軽減",料率!Z13-EU41,IF(CY22="７割軽減",料率!Z8,IF(CY22="５割軽減",料率!Z8,料率!Z13))),料率!Z8),0)</f>
        <v>0</v>
      </c>
      <c r="ER41" s="569"/>
      <c r="ES41" s="569"/>
      <c r="ET41" s="56"/>
      <c r="EU41" s="570">
        <f>IF(BF11=DM3,IF(CY22="７割軽減",料率!B26,IF(CY22="５割軽減",料率!F26,IF(CY22="２割軽減",料率!J26,0))),0)</f>
        <v>0</v>
      </c>
      <c r="EV41" s="570"/>
      <c r="EW41" s="570"/>
      <c r="EX41" s="52"/>
      <c r="EY41" s="570">
        <f>IF($BF$12=$DT$5,-ROUNDUP((EQ41+EU41)/2,0),0)</f>
        <v>0</v>
      </c>
      <c r="EZ41" s="570"/>
      <c r="FA41" s="570"/>
      <c r="FB41" s="52"/>
      <c r="FC41" s="570">
        <f t="shared" si="10"/>
        <v>0</v>
      </c>
      <c r="FD41" s="571"/>
      <c r="FE41" s="572"/>
      <c r="FF41" s="52"/>
      <c r="FG41" s="570">
        <f>IF(CY23="平等割半額",IF(CY22="７割軽減",料率!O26,IF(CY22="５割軽減",料率!Q26,IF(CY22="２割軽減",料率!S26,0))),IF(CY23="平等割＋均等割半額",0,IF(CY22="７割軽減",料率!D26,IF(CY22="５割軽減",料率!H26,IF(CY22="２割軽減",料率!L26,0)))))</f>
        <v>-5320</v>
      </c>
      <c r="FH41" s="570"/>
      <c r="FI41" s="570"/>
      <c r="FJ41" s="52"/>
      <c r="FK41" s="52"/>
      <c r="FL41" s="22"/>
      <c r="FM41" s="22"/>
      <c r="FN41" s="52"/>
      <c r="FO41" s="52"/>
      <c r="FP41" s="52"/>
      <c r="FQ41" s="52"/>
      <c r="FR41" s="52"/>
      <c r="FS41" s="52"/>
      <c r="FT41" s="52"/>
      <c r="FU41" s="52"/>
      <c r="FV41" s="52"/>
      <c r="FW41" s="52"/>
      <c r="FX41" s="52"/>
      <c r="FY41" s="52"/>
      <c r="FZ41" s="52"/>
      <c r="GA41" s="52"/>
      <c r="GB41" s="52"/>
      <c r="GC41" s="52"/>
      <c r="GD41" s="52"/>
      <c r="GE41" s="52"/>
      <c r="GF41" s="52"/>
      <c r="GG41" s="52"/>
      <c r="GH41" s="52"/>
      <c r="GI41" s="52"/>
      <c r="GJ41" s="52"/>
    </row>
    <row r="42" spans="1:193" s="51" customFormat="1" ht="13.8" customHeight="1">
      <c r="A42" s="114"/>
      <c r="B42" s="704" t="s">
        <v>27</v>
      </c>
      <c r="C42" s="704"/>
      <c r="D42" s="704"/>
      <c r="E42" s="703">
        <v>170000</v>
      </c>
      <c r="F42" s="703"/>
      <c r="G42" s="703"/>
      <c r="H42" s="703"/>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70"/>
      <c r="BZ42" s="133"/>
      <c r="CB42" s="607"/>
      <c r="CC42" s="81"/>
      <c r="CD42" s="82" t="s">
        <v>172</v>
      </c>
      <c r="CE42" s="82"/>
      <c r="CF42" s="82"/>
      <c r="CG42" s="82" t="s">
        <v>163</v>
      </c>
      <c r="CH42" s="82"/>
      <c r="CI42" s="82"/>
      <c r="CJ42" s="82"/>
      <c r="CK42" s="82"/>
      <c r="CL42" s="82"/>
      <c r="CM42" s="82"/>
      <c r="CN42" s="82"/>
      <c r="CO42" s="82"/>
      <c r="CP42" s="82"/>
      <c r="CQ42" s="82"/>
      <c r="CR42" s="82"/>
      <c r="CS42" s="82"/>
      <c r="CT42" s="82"/>
      <c r="CU42" s="82"/>
      <c r="CV42" s="82"/>
      <c r="CW42" s="82"/>
      <c r="CX42" s="82"/>
      <c r="CY42" s="82"/>
      <c r="CZ42" s="82"/>
      <c r="DA42" s="82"/>
      <c r="DB42" s="89"/>
      <c r="DD42" s="133"/>
      <c r="DE42" s="21"/>
      <c r="DF42" s="22">
        <f t="shared" ref="DF42:DF44" si="11">IF(DV42&gt;0,1,0)</f>
        <v>0</v>
      </c>
      <c r="DG42" s="564" t="s">
        <v>68</v>
      </c>
      <c r="DH42" s="564"/>
      <c r="DI42" s="564"/>
      <c r="DJ42" s="54" t="s">
        <v>154</v>
      </c>
      <c r="DK42" s="575">
        <f t="shared" si="7"/>
        <v>0</v>
      </c>
      <c r="DL42" s="576"/>
      <c r="DM42" s="576"/>
      <c r="DN42" s="577"/>
      <c r="DO42" s="22" t="s">
        <v>64</v>
      </c>
      <c r="DP42" s="160" t="s">
        <v>65</v>
      </c>
      <c r="DQ42" s="566">
        <f>料率!E38</f>
        <v>430000</v>
      </c>
      <c r="DR42" s="566"/>
      <c r="DS42" s="566"/>
      <c r="DT42" s="22" t="s">
        <v>64</v>
      </c>
      <c r="DU42" s="22" t="s">
        <v>165</v>
      </c>
      <c r="DV42" s="567">
        <f t="shared" si="9"/>
        <v>0</v>
      </c>
      <c r="DW42" s="567"/>
      <c r="DX42" s="567"/>
      <c r="DY42" s="567"/>
      <c r="DZ42" s="22" t="s">
        <v>153</v>
      </c>
      <c r="EA42" s="574">
        <f>料率!V8</f>
        <v>2.7</v>
      </c>
      <c r="EB42" s="574"/>
      <c r="EC42" s="160" t="s">
        <v>66</v>
      </c>
      <c r="ED42" s="564">
        <v>100</v>
      </c>
      <c r="EE42" s="564"/>
      <c r="EF42" s="160" t="s">
        <v>67</v>
      </c>
      <c r="EG42" s="568">
        <f t="shared" si="8"/>
        <v>0</v>
      </c>
      <c r="EH42" s="568"/>
      <c r="EI42" s="568"/>
      <c r="EJ42" s="129"/>
      <c r="EK42" s="22"/>
      <c r="EL42" s="55" t="s">
        <v>137</v>
      </c>
      <c r="EM42" s="565">
        <f>IF(EB6=1,料率!Z8,0)</f>
        <v>0</v>
      </c>
      <c r="EN42" s="565"/>
      <c r="EO42" s="565"/>
      <c r="EP42" s="62"/>
      <c r="EQ42" s="569">
        <f>IF(EB6=1,IF(EF6=1,IF(CY22="２割軽減",料率!Z13-EU42,IF(CY22="７割軽減",料率!Z8,IF(CY22="５割軽減",料率!Z8,料率!Z13))),料率!Z8),0)</f>
        <v>0</v>
      </c>
      <c r="ER42" s="569"/>
      <c r="ES42" s="569"/>
      <c r="ET42" s="56"/>
      <c r="EU42" s="570">
        <f>IF(BK11=DM3,IF(CY22="７割軽減",料率!B26,IF(CY22="５割軽減",料率!F26,IF(CY22="２割軽減",料率!J26,0))),0)</f>
        <v>0</v>
      </c>
      <c r="EV42" s="570"/>
      <c r="EW42" s="570"/>
      <c r="EX42" s="52"/>
      <c r="EY42" s="570">
        <f>IF($BK$12=$DT$5,-ROUNDUP((EQ42+EU42)/2,0),0)</f>
        <v>0</v>
      </c>
      <c r="EZ42" s="570"/>
      <c r="FA42" s="570"/>
      <c r="FB42" s="52"/>
      <c r="FC42" s="570">
        <f t="shared" si="10"/>
        <v>0</v>
      </c>
      <c r="FD42" s="571"/>
      <c r="FE42" s="572"/>
      <c r="FF42" s="52"/>
      <c r="FG42" s="22" t="s">
        <v>149</v>
      </c>
      <c r="FH42" s="52"/>
      <c r="FI42" s="52"/>
      <c r="FJ42" s="22"/>
      <c r="FK42" s="98" t="s">
        <v>185</v>
      </c>
      <c r="FL42" s="22"/>
      <c r="FM42" s="4"/>
      <c r="FN42" s="10"/>
      <c r="FO42" s="58"/>
      <c r="FP42" s="58"/>
      <c r="FQ42" s="58"/>
      <c r="FR42" s="58"/>
      <c r="FS42" s="59"/>
      <c r="FT42" s="59"/>
      <c r="FU42" s="59"/>
      <c r="FV42" s="58"/>
      <c r="FW42" s="59"/>
      <c r="FX42" s="59"/>
      <c r="FY42" s="59"/>
      <c r="FZ42" s="58"/>
      <c r="GA42" s="59"/>
      <c r="GB42" s="59"/>
      <c r="GC42" s="59"/>
      <c r="GD42" s="56"/>
      <c r="GE42" s="60"/>
      <c r="GF42" s="60"/>
      <c r="GG42" s="60"/>
      <c r="GH42" s="52"/>
      <c r="GI42" s="52"/>
      <c r="GJ42" s="52"/>
    </row>
    <row r="43" spans="1:193" s="51" customFormat="1" ht="13.8" customHeight="1">
      <c r="A43" s="114"/>
      <c r="B43" s="700" t="s">
        <v>59</v>
      </c>
      <c r="C43" s="701"/>
      <c r="D43" s="702"/>
      <c r="E43" s="703">
        <v>260000</v>
      </c>
      <c r="F43" s="703"/>
      <c r="G43" s="703"/>
      <c r="H43" s="703"/>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70"/>
      <c r="BZ43" s="133"/>
      <c r="CB43" s="607"/>
      <c r="CC43" s="85"/>
      <c r="CD43" s="90" t="s">
        <v>154</v>
      </c>
      <c r="CE43" s="101">
        <f>CE21</f>
        <v>1</v>
      </c>
      <c r="CF43" s="100" t="s">
        <v>151</v>
      </c>
      <c r="CG43" s="166" t="s">
        <v>150</v>
      </c>
      <c r="CH43" s="598">
        <f>料率!Z8</f>
        <v>11800</v>
      </c>
      <c r="CI43" s="598"/>
      <c r="CJ43" s="598"/>
      <c r="CK43" s="90" t="s">
        <v>64</v>
      </c>
      <c r="CL43" s="90" t="s">
        <v>161</v>
      </c>
      <c r="CM43" s="599">
        <f>CE43*CH43-CI37</f>
        <v>8260</v>
      </c>
      <c r="CN43" s="599"/>
      <c r="CO43" s="599"/>
      <c r="CP43" s="90" t="s">
        <v>64</v>
      </c>
      <c r="CQ43" s="90" t="s">
        <v>67</v>
      </c>
      <c r="CR43" s="598">
        <f>EQ45+EU45+EY45</f>
        <v>3540</v>
      </c>
      <c r="CS43" s="600"/>
      <c r="CT43" s="600"/>
      <c r="CU43" s="600"/>
      <c r="CV43" s="87"/>
      <c r="CW43" s="87"/>
      <c r="CX43" s="87"/>
      <c r="CY43" s="87"/>
      <c r="CZ43" s="87"/>
      <c r="DA43" s="87"/>
      <c r="DB43" s="88"/>
      <c r="DD43" s="133"/>
      <c r="DE43" s="21"/>
      <c r="DF43" s="22">
        <f t="shared" si="11"/>
        <v>0</v>
      </c>
      <c r="DG43" s="564" t="s">
        <v>69</v>
      </c>
      <c r="DH43" s="564"/>
      <c r="DI43" s="564"/>
      <c r="DJ43" s="54" t="s">
        <v>154</v>
      </c>
      <c r="DK43" s="575">
        <f t="shared" si="7"/>
        <v>0</v>
      </c>
      <c r="DL43" s="576"/>
      <c r="DM43" s="576"/>
      <c r="DN43" s="577"/>
      <c r="DO43" s="22" t="s">
        <v>64</v>
      </c>
      <c r="DP43" s="160" t="s">
        <v>65</v>
      </c>
      <c r="DQ43" s="566">
        <f>料率!E38</f>
        <v>430000</v>
      </c>
      <c r="DR43" s="566"/>
      <c r="DS43" s="566"/>
      <c r="DT43" s="22" t="s">
        <v>64</v>
      </c>
      <c r="DU43" s="22" t="s">
        <v>165</v>
      </c>
      <c r="DV43" s="567">
        <f t="shared" si="9"/>
        <v>0</v>
      </c>
      <c r="DW43" s="567"/>
      <c r="DX43" s="567"/>
      <c r="DY43" s="567"/>
      <c r="DZ43" s="22" t="s">
        <v>153</v>
      </c>
      <c r="EA43" s="574">
        <f>料率!V8</f>
        <v>2.7</v>
      </c>
      <c r="EB43" s="574"/>
      <c r="EC43" s="160" t="s">
        <v>66</v>
      </c>
      <c r="ED43" s="564">
        <v>100</v>
      </c>
      <c r="EE43" s="564"/>
      <c r="EF43" s="160" t="s">
        <v>67</v>
      </c>
      <c r="EG43" s="568">
        <f t="shared" si="8"/>
        <v>0</v>
      </c>
      <c r="EH43" s="568"/>
      <c r="EI43" s="568"/>
      <c r="EJ43" s="129"/>
      <c r="EK43" s="22"/>
      <c r="EL43" s="55" t="s">
        <v>138</v>
      </c>
      <c r="EM43" s="565">
        <f>IF(EB7=1,料率!Z8,0)</f>
        <v>0</v>
      </c>
      <c r="EN43" s="565"/>
      <c r="EO43" s="565"/>
      <c r="EP43" s="62"/>
      <c r="EQ43" s="569">
        <f>IF(EB7=1,IF(EF7=1,IF(CY22="２割軽減",料率!Z13-EU43,IF(CY22="７割軽減",料率!Z8,IF(CY22="５割軽減",料率!Z8,料率!Z13))),料率!Z8),0)</f>
        <v>0</v>
      </c>
      <c r="ER43" s="569"/>
      <c r="ES43" s="569"/>
      <c r="ET43" s="56"/>
      <c r="EU43" s="570">
        <f>IF(BP11=DM3,IF(CY22="７割軽減",料率!B26,IF(CY22="５割軽減",料率!F26,IF(CY22="２割軽減",料率!J26,0))),0)</f>
        <v>0</v>
      </c>
      <c r="EV43" s="570"/>
      <c r="EW43" s="570"/>
      <c r="EX43" s="52"/>
      <c r="EY43" s="570">
        <f>IF($BP$12=$DT$5,-ROUNDUP((EQ43+EU43)/2,0),0)</f>
        <v>0</v>
      </c>
      <c r="EZ43" s="570"/>
      <c r="FA43" s="570"/>
      <c r="FB43" s="52"/>
      <c r="FC43" s="570">
        <f t="shared" si="10"/>
        <v>0</v>
      </c>
      <c r="FD43" s="571"/>
      <c r="FE43" s="572"/>
      <c r="FF43" s="52"/>
      <c r="FG43" s="575">
        <f>IF(CY23="平等割半額",料率!AC13,料率!AC8)</f>
        <v>7600</v>
      </c>
      <c r="FH43" s="576"/>
      <c r="FI43" s="577"/>
      <c r="FJ43" s="52"/>
      <c r="FK43" s="22" t="s">
        <v>22</v>
      </c>
      <c r="FL43" s="22"/>
      <c r="FM43" s="22"/>
      <c r="FN43" s="22"/>
      <c r="FO43" s="22"/>
      <c r="FP43" s="22" t="s">
        <v>75</v>
      </c>
      <c r="FQ43" s="22"/>
      <c r="FR43" s="22"/>
      <c r="FS43" s="22"/>
      <c r="FT43" s="22" t="s">
        <v>77</v>
      </c>
      <c r="FU43" s="22"/>
      <c r="FV43" s="22"/>
      <c r="FW43" s="22"/>
      <c r="FX43" s="22"/>
      <c r="FY43" s="22"/>
      <c r="FZ43" s="22" t="s">
        <v>23</v>
      </c>
      <c r="GA43" s="22"/>
      <c r="GB43" s="22"/>
      <c r="GC43" s="22"/>
      <c r="GD43" s="22"/>
      <c r="GE43" s="22" t="s">
        <v>81</v>
      </c>
      <c r="GF43" s="22"/>
      <c r="GG43" s="22"/>
      <c r="GH43" s="52"/>
      <c r="GI43" s="52"/>
      <c r="GJ43" s="52"/>
    </row>
    <row r="44" spans="1:193" s="51" customFormat="1" ht="13.8" customHeight="1">
      <c r="A44" s="114"/>
      <c r="B44" s="700" t="s">
        <v>190</v>
      </c>
      <c r="C44" s="701"/>
      <c r="D44" s="702"/>
      <c r="E44" s="703">
        <v>0</v>
      </c>
      <c r="F44" s="703"/>
      <c r="G44" s="703"/>
      <c r="H44" s="703"/>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70"/>
      <c r="BZ44" s="133"/>
      <c r="CB44" s="607"/>
      <c r="CC44" s="21"/>
      <c r="CD44" s="21" t="s">
        <v>173</v>
      </c>
      <c r="CE44" s="21"/>
      <c r="CF44" s="21"/>
      <c r="CG44" s="21" t="s">
        <v>164</v>
      </c>
      <c r="CH44" s="21"/>
      <c r="CI44" s="21"/>
      <c r="CJ44" s="21"/>
      <c r="CK44" s="21"/>
      <c r="CL44" s="21"/>
      <c r="CM44" s="21"/>
      <c r="CN44" s="21"/>
      <c r="CO44" s="21"/>
      <c r="CP44" s="21"/>
      <c r="CQ44" s="21"/>
      <c r="CR44" s="21"/>
      <c r="CS44" s="21"/>
      <c r="CT44" s="21"/>
      <c r="CU44" s="21"/>
      <c r="CV44" s="21"/>
      <c r="CW44" s="21"/>
      <c r="CX44" s="21"/>
      <c r="CY44" s="21"/>
      <c r="CZ44" s="21"/>
      <c r="DA44" s="21"/>
      <c r="DB44" s="79"/>
      <c r="DD44" s="133"/>
      <c r="DE44" s="21"/>
      <c r="DF44" s="22">
        <f t="shared" si="11"/>
        <v>0</v>
      </c>
      <c r="DG44" s="564" t="s">
        <v>70</v>
      </c>
      <c r="DH44" s="564"/>
      <c r="DI44" s="564"/>
      <c r="DJ44" s="54" t="s">
        <v>154</v>
      </c>
      <c r="DK44" s="575">
        <f t="shared" si="7"/>
        <v>0</v>
      </c>
      <c r="DL44" s="576"/>
      <c r="DM44" s="576"/>
      <c r="DN44" s="577"/>
      <c r="DO44" s="22" t="s">
        <v>64</v>
      </c>
      <c r="DP44" s="160" t="s">
        <v>65</v>
      </c>
      <c r="DQ44" s="566">
        <f>料率!E38</f>
        <v>430000</v>
      </c>
      <c r="DR44" s="566"/>
      <c r="DS44" s="566"/>
      <c r="DT44" s="22" t="s">
        <v>64</v>
      </c>
      <c r="DU44" s="22" t="s">
        <v>165</v>
      </c>
      <c r="DV44" s="567">
        <f t="shared" si="9"/>
        <v>0</v>
      </c>
      <c r="DW44" s="567"/>
      <c r="DX44" s="567"/>
      <c r="DY44" s="567"/>
      <c r="DZ44" s="22" t="s">
        <v>153</v>
      </c>
      <c r="EA44" s="574">
        <f>料率!V8</f>
        <v>2.7</v>
      </c>
      <c r="EB44" s="574"/>
      <c r="EC44" s="160" t="s">
        <v>66</v>
      </c>
      <c r="ED44" s="564">
        <v>100</v>
      </c>
      <c r="EE44" s="564"/>
      <c r="EF44" s="160" t="s">
        <v>67</v>
      </c>
      <c r="EG44" s="568">
        <f>IF(EF8=1,0,IF(DK44-DQ44&lt;0,0,ROUNDDOWN((DK44-DQ44)*EA44/ED44,0)))</f>
        <v>0</v>
      </c>
      <c r="EH44" s="568"/>
      <c r="EI44" s="568"/>
      <c r="EJ44" s="129"/>
      <c r="EK44" s="22"/>
      <c r="EL44" s="62" t="s">
        <v>139</v>
      </c>
      <c r="EM44" s="565">
        <f>IF(EB8=1,料率!Z8,0)</f>
        <v>0</v>
      </c>
      <c r="EN44" s="565"/>
      <c r="EO44" s="565"/>
      <c r="EP44" s="62"/>
      <c r="EQ44" s="569">
        <f>IF(EB8=1,IF(EF8=1,IF(CY22="２割軽減",料率!Z13-EU44,IF(CY22="７割軽減",料率!Z8,IF(CY22="５割軽減",料率!Z8,料率!Z13))),料率!Z8),0)</f>
        <v>0</v>
      </c>
      <c r="ER44" s="569"/>
      <c r="ES44" s="569"/>
      <c r="ET44" s="52"/>
      <c r="EU44" s="570">
        <f>IF(BU11=DM3,IF(CY22="７割軽減",料率!B26,IF(CY22="５割軽減",料率!F26,IF(CY22="２割軽減",料率!J26,0))),0)</f>
        <v>0</v>
      </c>
      <c r="EV44" s="570"/>
      <c r="EW44" s="570"/>
      <c r="EX44" s="52"/>
      <c r="EY44" s="570">
        <f>IF($BU$12=$DT$5,-ROUNDUP((EQ44+EU44)/2,0),0)</f>
        <v>0</v>
      </c>
      <c r="EZ44" s="570"/>
      <c r="FA44" s="570"/>
      <c r="FB44" s="52"/>
      <c r="FC44" s="570">
        <f t="shared" si="10"/>
        <v>0</v>
      </c>
      <c r="FD44" s="571"/>
      <c r="FE44" s="572"/>
      <c r="FF44" s="52"/>
      <c r="FG44" s="160"/>
      <c r="FH44" s="52"/>
      <c r="FI44" s="52"/>
      <c r="FJ44" s="97" t="s">
        <v>188</v>
      </c>
      <c r="FK44" s="579">
        <f>EG45</f>
        <v>0</v>
      </c>
      <c r="FL44" s="580"/>
      <c r="FM44" s="580"/>
      <c r="FN44" s="581"/>
      <c r="FO44" s="160" t="s">
        <v>76</v>
      </c>
      <c r="FP44" s="579">
        <f>EQ45+EU45+EY45</f>
        <v>3540</v>
      </c>
      <c r="FQ44" s="580"/>
      <c r="FR44" s="580"/>
      <c r="FS44" s="581"/>
      <c r="FT44" s="160" t="s">
        <v>76</v>
      </c>
      <c r="FU44" s="575">
        <f>FG39+FG41</f>
        <v>2280</v>
      </c>
      <c r="FV44" s="576"/>
      <c r="FW44" s="576"/>
      <c r="FX44" s="577"/>
      <c r="FY44" s="160" t="s">
        <v>67</v>
      </c>
      <c r="FZ44" s="579">
        <f>FK44+FP44+FU44</f>
        <v>5820</v>
      </c>
      <c r="GA44" s="580"/>
      <c r="GB44" s="580"/>
      <c r="GC44" s="581"/>
      <c r="GD44" s="160" t="s">
        <v>78</v>
      </c>
      <c r="GE44" s="575">
        <f>IF(FZ44&gt;料率!E43,料率!E43,ROUNDDOWN(FZ44,-2))</f>
        <v>5800</v>
      </c>
      <c r="GF44" s="576"/>
      <c r="GG44" s="576"/>
      <c r="GH44" s="577"/>
      <c r="GI44" s="52" t="s">
        <v>134</v>
      </c>
      <c r="GJ44" s="52"/>
    </row>
    <row r="45" spans="1:193" s="51" customFormat="1" ht="13.8"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0"/>
      <c r="BS45" s="170"/>
      <c r="BT45" s="170"/>
      <c r="BU45" s="170"/>
      <c r="BV45" s="170"/>
      <c r="BW45" s="170"/>
      <c r="BX45" s="170"/>
      <c r="BY45" s="170"/>
      <c r="BZ45" s="133"/>
      <c r="CB45" s="608"/>
      <c r="CC45" s="57"/>
      <c r="CD45" s="61" t="s">
        <v>154</v>
      </c>
      <c r="CE45" s="57"/>
      <c r="CF45" s="92"/>
      <c r="CG45" s="61" t="s">
        <v>152</v>
      </c>
      <c r="CH45" s="583">
        <f>料率!AC8</f>
        <v>7600</v>
      </c>
      <c r="CI45" s="583"/>
      <c r="CJ45" s="583"/>
      <c r="CK45" s="61" t="s">
        <v>64</v>
      </c>
      <c r="CL45" s="61" t="s">
        <v>161</v>
      </c>
      <c r="CM45" s="584">
        <f>CH45-CN37</f>
        <v>5320</v>
      </c>
      <c r="CN45" s="584"/>
      <c r="CO45" s="584"/>
      <c r="CP45" s="61" t="s">
        <v>64</v>
      </c>
      <c r="CQ45" s="61" t="s">
        <v>67</v>
      </c>
      <c r="CR45" s="583">
        <f>FG39+FG41</f>
        <v>2280</v>
      </c>
      <c r="CS45" s="384"/>
      <c r="CT45" s="384"/>
      <c r="CU45" s="384"/>
      <c r="CV45" s="57"/>
      <c r="CW45" s="57"/>
      <c r="CX45" s="57"/>
      <c r="CY45" s="57"/>
      <c r="CZ45" s="57"/>
      <c r="DA45" s="57"/>
      <c r="DB45" s="93"/>
      <c r="DD45" s="133"/>
      <c r="DE45" s="21"/>
      <c r="DF45" s="22"/>
      <c r="DG45" s="22"/>
      <c r="DH45" s="22"/>
      <c r="DI45" s="22"/>
      <c r="DJ45" s="22"/>
      <c r="DK45" s="22"/>
      <c r="DL45" s="22"/>
      <c r="DM45" s="22"/>
      <c r="DN45" s="22"/>
      <c r="DO45" s="22"/>
      <c r="DP45" s="22"/>
      <c r="DQ45" s="22"/>
      <c r="DR45" s="22"/>
      <c r="DS45" s="22"/>
      <c r="DT45" s="22"/>
      <c r="DU45" s="22"/>
      <c r="DV45" s="22"/>
      <c r="DW45" s="22"/>
      <c r="DX45" s="54" t="s">
        <v>177</v>
      </c>
      <c r="DY45" s="585">
        <f>ROUNDDOWN((IF(EG39&gt;0,DV39,0)+IF(EG40&gt;0,DV40,0)+IF(EG41&gt;0,DV41,0)+IF(EG42&gt;0,DV42,0)+IF(EG43&gt;0,DV43,0)+IF(EG44&gt;0,DV44,0))*EA39/100,0)</f>
        <v>0</v>
      </c>
      <c r="DZ45" s="585"/>
      <c r="EA45" s="585"/>
      <c r="EB45" s="22"/>
      <c r="EC45" s="22"/>
      <c r="ED45" s="22"/>
      <c r="EE45" s="22"/>
      <c r="EF45" s="54" t="s">
        <v>80</v>
      </c>
      <c r="EG45" s="585">
        <f>EG39+EG40+EG41+EG42+EG43+EG44</f>
        <v>0</v>
      </c>
      <c r="EH45" s="585"/>
      <c r="EI45" s="585"/>
      <c r="EJ45" s="159"/>
      <c r="EK45" s="22"/>
      <c r="EL45" s="54" t="s">
        <v>148</v>
      </c>
      <c r="EM45" s="587">
        <f>EM39+EM40+EM41+EM42+EM43+EM44</f>
        <v>11800</v>
      </c>
      <c r="EN45" s="588"/>
      <c r="EO45" s="588"/>
      <c r="EP45" s="63"/>
      <c r="EQ45" s="569">
        <f>SUM(EQ39:ES44)</f>
        <v>11800</v>
      </c>
      <c r="ER45" s="569"/>
      <c r="ES45" s="569"/>
      <c r="ET45" s="52"/>
      <c r="EU45" s="570">
        <f>SUM(EU39:EW44)</f>
        <v>-8260</v>
      </c>
      <c r="EV45" s="570"/>
      <c r="EW45" s="570"/>
      <c r="EX45" s="52"/>
      <c r="EY45" s="570">
        <f>SUM(EY39:FA44)</f>
        <v>0</v>
      </c>
      <c r="EZ45" s="570"/>
      <c r="FA45" s="570"/>
      <c r="FB45" s="52"/>
      <c r="FC45" s="570">
        <f>SUM(FC39:FE44)</f>
        <v>0</v>
      </c>
      <c r="FD45" s="570"/>
      <c r="FE45" s="570"/>
      <c r="FF45" s="22"/>
      <c r="FG45" s="164"/>
      <c r="FH45" s="52"/>
      <c r="FI45" s="52"/>
      <c r="FJ45" s="97" t="s">
        <v>189</v>
      </c>
      <c r="FK45" s="579">
        <f>DY45</f>
        <v>0</v>
      </c>
      <c r="FL45" s="580"/>
      <c r="FM45" s="580"/>
      <c r="FN45" s="581"/>
      <c r="FO45" s="160" t="s">
        <v>76</v>
      </c>
      <c r="FP45" s="579">
        <f>EQ45+EU45+EY45</f>
        <v>3540</v>
      </c>
      <c r="FQ45" s="580"/>
      <c r="FR45" s="580"/>
      <c r="FS45" s="581"/>
      <c r="FT45" s="160" t="s">
        <v>76</v>
      </c>
      <c r="FU45" s="575">
        <f>FG39+FG41</f>
        <v>2280</v>
      </c>
      <c r="FV45" s="576"/>
      <c r="FW45" s="576"/>
      <c r="FX45" s="577"/>
      <c r="FY45" s="160" t="s">
        <v>67</v>
      </c>
      <c r="FZ45" s="579">
        <f>FK45+FP45+FU45</f>
        <v>5820</v>
      </c>
      <c r="GA45" s="580"/>
      <c r="GB45" s="580"/>
      <c r="GC45" s="581"/>
      <c r="GD45" s="160" t="s">
        <v>78</v>
      </c>
      <c r="GE45" s="575">
        <f>IF(FZ45&gt;料率!E43,料率!E43,ROUNDDOWN(FZ45,-2))</f>
        <v>5800</v>
      </c>
      <c r="GF45" s="576"/>
      <c r="GG45" s="576"/>
      <c r="GH45" s="577"/>
      <c r="GI45" s="99">
        <f>GE44-GE45</f>
        <v>0</v>
      </c>
      <c r="GJ45" s="52"/>
    </row>
    <row r="46" spans="1:193" s="51" customFormat="1" ht="13.8"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0"/>
      <c r="BS46" s="170"/>
      <c r="BT46" s="170"/>
      <c r="BU46" s="170"/>
      <c r="BV46" s="170"/>
      <c r="BW46" s="170"/>
      <c r="BX46" s="170"/>
      <c r="BY46" s="170"/>
      <c r="BZ46" s="133"/>
      <c r="CB46" s="21"/>
      <c r="DD46" s="133"/>
      <c r="DF46" s="52"/>
      <c r="DG46" s="52"/>
      <c r="DH46" s="52"/>
      <c r="DI46" s="52"/>
      <c r="DJ46" s="52"/>
      <c r="DK46" s="52"/>
      <c r="DL46" s="52"/>
      <c r="DM46" s="52"/>
      <c r="DN46" s="52"/>
      <c r="DO46" s="52"/>
      <c r="DP46" s="52"/>
      <c r="DQ46" s="52"/>
      <c r="DR46" s="52"/>
      <c r="DS46" s="52"/>
      <c r="DT46" s="52"/>
      <c r="DU46" s="52"/>
      <c r="DV46" s="52"/>
      <c r="DW46" s="52"/>
      <c r="DX46" s="52"/>
      <c r="DY46" s="52"/>
      <c r="DZ46" s="52"/>
      <c r="EA46" s="52"/>
      <c r="EB46" s="52"/>
      <c r="EC46" s="52"/>
      <c r="ED46" s="52"/>
      <c r="EE46" s="52"/>
      <c r="EF46" s="52"/>
      <c r="EG46" s="52"/>
      <c r="EH46" s="52"/>
      <c r="EI46" s="52"/>
      <c r="EJ46" s="52"/>
      <c r="EK46" s="52"/>
      <c r="EL46" s="52"/>
      <c r="EM46" s="52"/>
      <c r="EN46" s="52"/>
      <c r="EO46" s="52"/>
      <c r="EP46" s="52"/>
      <c r="EQ46" s="52"/>
      <c r="ER46" s="52"/>
      <c r="ES46" s="52"/>
      <c r="ET46" s="52"/>
      <c r="EU46" s="52"/>
      <c r="EV46" s="52"/>
      <c r="EW46" s="52"/>
      <c r="EX46" s="52"/>
      <c r="EY46" s="52"/>
      <c r="EZ46" s="52"/>
      <c r="FA46" s="52"/>
      <c r="FB46" s="52"/>
      <c r="FC46" s="52"/>
      <c r="FD46" s="52"/>
      <c r="FE46" s="52"/>
      <c r="FF46" s="52"/>
      <c r="FG46" s="52"/>
      <c r="FH46" s="52"/>
      <c r="FI46" s="52"/>
      <c r="FJ46" s="34"/>
      <c r="FK46" s="52"/>
      <c r="FL46" s="22"/>
      <c r="FM46" s="4"/>
      <c r="FN46" s="10"/>
      <c r="FO46" s="52"/>
      <c r="FP46" s="52"/>
      <c r="FQ46" s="52"/>
      <c r="FR46" s="52"/>
      <c r="FS46" s="52"/>
      <c r="FT46" s="52"/>
      <c r="FU46" s="52"/>
      <c r="FV46" s="52"/>
      <c r="FW46" s="52"/>
      <c r="FX46" s="52"/>
      <c r="FY46" s="52"/>
      <c r="FZ46" s="52"/>
      <c r="GA46" s="52"/>
      <c r="GB46" s="52"/>
      <c r="GC46" s="52"/>
      <c r="GD46" s="52"/>
      <c r="GE46" s="52"/>
      <c r="GF46" s="52"/>
      <c r="GG46" s="52"/>
      <c r="GH46" s="52"/>
      <c r="GI46" s="52"/>
      <c r="GJ46" s="52"/>
    </row>
    <row r="47" spans="1:193" s="51" customFormat="1" ht="13.8"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33"/>
      <c r="CB47" s="620" t="s">
        <v>190</v>
      </c>
      <c r="CC47" s="53"/>
      <c r="CD47" s="53" t="s">
        <v>22</v>
      </c>
      <c r="CE47" s="53"/>
      <c r="CF47" s="53"/>
      <c r="CG47" s="53"/>
      <c r="CH47" s="53"/>
      <c r="CI47" s="53" t="s">
        <v>75</v>
      </c>
      <c r="CJ47" s="53"/>
      <c r="CK47" s="53"/>
      <c r="CL47" s="53"/>
      <c r="CM47" s="53" t="s">
        <v>77</v>
      </c>
      <c r="CN47" s="53"/>
      <c r="CO47" s="53"/>
      <c r="CP47" s="53"/>
      <c r="CQ47" s="53"/>
      <c r="CR47" s="53"/>
      <c r="CS47" s="53" t="s">
        <v>23</v>
      </c>
      <c r="CT47" s="53"/>
      <c r="CU47" s="53"/>
      <c r="CV47" s="53"/>
      <c r="CW47" s="53"/>
      <c r="CX47" s="53" t="s">
        <v>155</v>
      </c>
      <c r="CY47" s="53"/>
      <c r="CZ47" s="53"/>
      <c r="DA47" s="53"/>
      <c r="DB47" s="77"/>
      <c r="DD47" s="134"/>
      <c r="DE47" s="21"/>
      <c r="DF47" s="52"/>
      <c r="DG47" s="52"/>
      <c r="DH47" s="52"/>
      <c r="DI47" s="52"/>
      <c r="DJ47" s="52"/>
      <c r="DK47" s="52"/>
      <c r="DL47" s="52"/>
      <c r="DM47" s="52"/>
      <c r="DN47" s="52"/>
      <c r="DO47" s="52"/>
      <c r="DP47" s="52"/>
      <c r="DQ47" s="52"/>
      <c r="DR47" s="52"/>
      <c r="DS47" s="52"/>
      <c r="DT47" s="52"/>
      <c r="DU47" s="52"/>
      <c r="DV47" s="52"/>
      <c r="DW47" s="52"/>
      <c r="DX47" s="52"/>
      <c r="DY47" s="52"/>
      <c r="DZ47" s="52"/>
      <c r="EA47" s="52"/>
      <c r="EB47" s="52"/>
      <c r="EC47" s="22"/>
      <c r="ED47" s="22"/>
      <c r="EE47" s="22"/>
      <c r="EF47" s="22"/>
      <c r="EG47" s="22"/>
      <c r="EH47" s="22"/>
      <c r="EI47" s="22"/>
      <c r="EJ47" s="22"/>
      <c r="EK47" s="22"/>
      <c r="EL47" s="22"/>
      <c r="EM47" s="22"/>
      <c r="EN47" s="22"/>
      <c r="EO47" s="22"/>
      <c r="EP47" s="22"/>
      <c r="EQ47" s="22"/>
      <c r="ER47" s="22"/>
      <c r="ES47" s="22"/>
      <c r="ET47" s="22"/>
      <c r="EU47" s="22"/>
      <c r="EV47" s="22"/>
      <c r="EW47" s="22"/>
      <c r="EX47" s="22"/>
      <c r="EY47" s="718" t="s">
        <v>320</v>
      </c>
      <c r="EZ47" s="22"/>
      <c r="FA47" s="22"/>
      <c r="FB47" s="22"/>
      <c r="FC47" s="22"/>
      <c r="FD47" s="22"/>
      <c r="FE47" s="22"/>
      <c r="FF47" s="22"/>
      <c r="FG47" s="22"/>
      <c r="FH47" s="22"/>
      <c r="FI47" s="22"/>
      <c r="FJ47" s="22"/>
      <c r="FK47" s="22"/>
      <c r="FL47" s="22"/>
      <c r="FM47" s="4"/>
      <c r="FN47" s="10"/>
      <c r="FO47" s="52"/>
      <c r="FP47" s="52"/>
      <c r="FQ47" s="52"/>
      <c r="FR47" s="52"/>
      <c r="FS47" s="52"/>
      <c r="FT47" s="52"/>
      <c r="FU47" s="52"/>
      <c r="FV47" s="52"/>
      <c r="FW47" s="52"/>
      <c r="FX47" s="52"/>
      <c r="FY47" s="52"/>
      <c r="FZ47" s="52"/>
      <c r="GA47" s="52"/>
      <c r="GB47" s="52"/>
      <c r="GC47" s="52"/>
      <c r="GD47" s="52"/>
      <c r="GE47" s="52"/>
      <c r="GF47" s="52"/>
      <c r="GG47" s="52"/>
      <c r="GH47" s="52"/>
      <c r="GI47" s="52"/>
      <c r="GJ47" s="52"/>
    </row>
    <row r="48" spans="1:193" s="51" customFormat="1" ht="13.8"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33"/>
      <c r="CB48" s="621"/>
      <c r="CC48" s="21"/>
      <c r="CD48" s="592">
        <f>IF($GE56=$GE55,DY56,EG56)</f>
        <v>0</v>
      </c>
      <c r="CE48" s="609"/>
      <c r="CF48" s="609"/>
      <c r="CG48" s="610"/>
      <c r="CH48" s="163" t="s">
        <v>76</v>
      </c>
      <c r="CI48" s="592">
        <f>EQ56+EU56+EY56</f>
        <v>0</v>
      </c>
      <c r="CJ48" s="609"/>
      <c r="CK48" s="609"/>
      <c r="CL48" s="610"/>
      <c r="CM48" s="163" t="s">
        <v>76</v>
      </c>
      <c r="CN48" s="595">
        <f>FG50+FG52</f>
        <v>0</v>
      </c>
      <c r="CO48" s="596"/>
      <c r="CP48" s="596"/>
      <c r="CQ48" s="597"/>
      <c r="CR48" s="163" t="s">
        <v>67</v>
      </c>
      <c r="CS48" s="592">
        <f>CD48+CI48+CN48</f>
        <v>0</v>
      </c>
      <c r="CT48" s="609"/>
      <c r="CU48" s="609"/>
      <c r="CV48" s="610"/>
      <c r="CW48" s="163" t="s">
        <v>78</v>
      </c>
      <c r="CX48" s="595">
        <f>IF(CS48&gt;料率!E44,料率!E44,ROUNDDOWN(CS48,-2))</f>
        <v>0</v>
      </c>
      <c r="CY48" s="596"/>
      <c r="CZ48" s="596"/>
      <c r="DA48" s="597"/>
      <c r="DB48" s="79"/>
      <c r="DD48" s="134"/>
      <c r="DF48" s="98" t="s">
        <v>228</v>
      </c>
      <c r="DG48" s="22"/>
      <c r="DH48" s="22"/>
      <c r="DI48" s="22"/>
      <c r="DJ48" s="22"/>
      <c r="DK48" s="22"/>
      <c r="DL48" s="601" t="s">
        <v>17</v>
      </c>
      <c r="DM48" s="602"/>
      <c r="DN48" s="602"/>
      <c r="DO48" s="603"/>
      <c r="DP48" s="576">
        <f>EQ$9</f>
        <v>0</v>
      </c>
      <c r="DQ48" s="576"/>
      <c r="DR48" s="576"/>
      <c r="DS48" s="577"/>
      <c r="DT48" s="22"/>
      <c r="DU48" s="5"/>
      <c r="DV48" s="5"/>
      <c r="DW48" s="5"/>
      <c r="DX48" s="5"/>
      <c r="DY48" s="5"/>
      <c r="DZ48" s="5"/>
      <c r="EA48" s="52"/>
      <c r="EB48" s="52"/>
      <c r="EC48" s="22"/>
      <c r="ED48" s="52"/>
      <c r="EE48" s="52"/>
      <c r="EF48" s="52"/>
      <c r="EG48" s="52"/>
      <c r="EH48" s="52"/>
      <c r="EI48" s="52"/>
      <c r="EJ48" s="52"/>
      <c r="EK48" s="52"/>
      <c r="EL48" s="52"/>
      <c r="EM48" s="22"/>
      <c r="EN48" s="22"/>
      <c r="EO48" s="22"/>
      <c r="EP48" s="22"/>
      <c r="EQ48" s="22"/>
      <c r="ER48" s="22"/>
      <c r="ES48" s="22"/>
      <c r="ET48" s="22"/>
      <c r="EU48" s="22"/>
      <c r="EV48" s="22"/>
      <c r="EW48" s="22"/>
      <c r="EX48" s="52"/>
      <c r="EY48" s="36" t="s">
        <v>227</v>
      </c>
      <c r="EZ48" s="52"/>
      <c r="FA48" s="52"/>
      <c r="FB48" s="52"/>
      <c r="FC48" s="52"/>
      <c r="FD48" s="52"/>
      <c r="FE48" s="52"/>
      <c r="FF48" s="2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row>
    <row r="49" spans="1:193" s="51" customFormat="1" ht="13.8"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0"/>
      <c r="BU49" s="170"/>
      <c r="BV49" s="170"/>
      <c r="BW49" s="170"/>
      <c r="BX49" s="170"/>
      <c r="BY49" s="170"/>
      <c r="BZ49" s="133"/>
      <c r="CB49" s="621"/>
      <c r="CC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80"/>
      <c r="DD49" s="134"/>
      <c r="DE49" s="21"/>
      <c r="DF49" s="52" t="s">
        <v>166</v>
      </c>
      <c r="DG49" s="52"/>
      <c r="DH49" s="52"/>
      <c r="DI49" s="52"/>
      <c r="DJ49" s="52"/>
      <c r="DK49" s="52"/>
      <c r="DL49" s="52"/>
      <c r="DM49" s="52"/>
      <c r="DN49" s="52"/>
      <c r="DO49" s="52"/>
      <c r="DP49" s="52"/>
      <c r="DQ49" s="52"/>
      <c r="DR49" s="52"/>
      <c r="DS49" s="52"/>
      <c r="DT49" s="52"/>
      <c r="DU49" s="52"/>
      <c r="DV49" s="52"/>
      <c r="DW49" s="52"/>
      <c r="DX49" s="52"/>
      <c r="DY49" s="52"/>
      <c r="DZ49" s="52"/>
      <c r="EA49" s="52"/>
      <c r="EB49" s="52"/>
      <c r="EC49" s="22"/>
      <c r="ED49" s="22"/>
      <c r="EE49" s="22"/>
      <c r="EF49" s="22"/>
      <c r="EG49" s="22"/>
      <c r="EH49" s="22"/>
      <c r="EI49" s="22"/>
      <c r="EJ49" s="22"/>
      <c r="EK49" s="22"/>
      <c r="EL49" s="22"/>
      <c r="EM49" s="52" t="s">
        <v>167</v>
      </c>
      <c r="EN49" s="52"/>
      <c r="EO49" s="22"/>
      <c r="EP49" s="22"/>
      <c r="EQ49" s="36" t="s">
        <v>180</v>
      </c>
      <c r="ER49" s="52"/>
      <c r="ES49" s="52"/>
      <c r="ET49" s="52"/>
      <c r="EU49" s="52" t="s">
        <v>181</v>
      </c>
      <c r="EV49" s="52"/>
      <c r="EW49" s="52"/>
      <c r="EX49" s="52"/>
      <c r="EY49" s="152" t="s">
        <v>226</v>
      </c>
      <c r="EZ49" s="52"/>
      <c r="FA49" s="52"/>
      <c r="FB49" s="52"/>
      <c r="FC49" s="52" t="s">
        <v>239</v>
      </c>
      <c r="FD49" s="52"/>
      <c r="FE49" s="52"/>
      <c r="FF49" s="22"/>
      <c r="FG49" s="52" t="s">
        <v>168</v>
      </c>
      <c r="FH49" s="52"/>
      <c r="FI49" s="52"/>
      <c r="FJ49" s="22"/>
      <c r="FK49" s="22" t="s">
        <v>223</v>
      </c>
      <c r="FL49" s="22"/>
      <c r="FM49" s="4"/>
      <c r="FN49" s="10"/>
      <c r="FO49" s="52"/>
      <c r="FP49" s="52"/>
      <c r="FQ49" s="52"/>
      <c r="FR49" s="52"/>
      <c r="FS49" s="52"/>
      <c r="FT49" s="52"/>
      <c r="FU49" s="52"/>
      <c r="FV49" s="52"/>
      <c r="FW49" s="52"/>
      <c r="FX49" s="52"/>
      <c r="FY49" s="52"/>
      <c r="FZ49" s="52"/>
      <c r="GA49" s="52"/>
      <c r="GB49" s="52"/>
      <c r="GC49" s="52"/>
      <c r="GD49" s="52"/>
      <c r="GE49" s="52"/>
      <c r="GF49" s="52"/>
      <c r="GG49" s="52"/>
      <c r="GH49" s="52"/>
      <c r="GI49" s="52"/>
      <c r="GJ49" s="52"/>
    </row>
    <row r="50" spans="1:193" s="51" customFormat="1" ht="13.8"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70"/>
      <c r="BU50" s="170"/>
      <c r="BV50" s="170"/>
      <c r="BW50" s="170"/>
      <c r="BX50" s="170"/>
      <c r="BY50" s="170"/>
      <c r="BZ50" s="133"/>
      <c r="CB50" s="621"/>
      <c r="CC50" s="81"/>
      <c r="CD50" s="82" t="s">
        <v>171</v>
      </c>
      <c r="CE50" s="82"/>
      <c r="CF50" s="82"/>
      <c r="CG50" s="82" t="s">
        <v>162</v>
      </c>
      <c r="CH50" s="82"/>
      <c r="CI50" s="82"/>
      <c r="CJ50" s="82"/>
      <c r="CK50" s="82"/>
      <c r="CL50" s="82"/>
      <c r="CM50" s="82"/>
      <c r="CN50" s="82"/>
      <c r="CO50" s="82"/>
      <c r="CP50" s="82"/>
      <c r="CQ50" s="82"/>
      <c r="CR50" s="82"/>
      <c r="CS50" s="82"/>
      <c r="CT50" s="82"/>
      <c r="CU50" s="82"/>
      <c r="CV50" s="82"/>
      <c r="CW50" s="82"/>
      <c r="CX50" s="82"/>
      <c r="CY50" s="82"/>
      <c r="CZ50" s="83"/>
      <c r="DA50" s="83"/>
      <c r="DB50" s="84"/>
      <c r="DD50" s="133"/>
      <c r="DE50" s="21"/>
      <c r="DF50" s="22">
        <f>IF(DV50&gt;0,1,0)</f>
        <v>0</v>
      </c>
      <c r="DG50" s="573" t="str">
        <f>IF(AU11=DF3,DF3,"擬制世帯主")</f>
        <v>世帯主</v>
      </c>
      <c r="DH50" s="573"/>
      <c r="DI50" s="573"/>
      <c r="DJ50" s="54" t="s">
        <v>154</v>
      </c>
      <c r="DK50" s="565">
        <f t="shared" ref="DK50:DK55" si="12">EQ3</f>
        <v>0</v>
      </c>
      <c r="DL50" s="565"/>
      <c r="DM50" s="565"/>
      <c r="DN50" s="565"/>
      <c r="DO50" s="22" t="s">
        <v>64</v>
      </c>
      <c r="DP50" s="160" t="s">
        <v>65</v>
      </c>
      <c r="DQ50" s="605">
        <f>料率!E38</f>
        <v>430000</v>
      </c>
      <c r="DR50" s="605"/>
      <c r="DS50" s="605"/>
      <c r="DT50" s="22" t="s">
        <v>64</v>
      </c>
      <c r="DU50" s="22" t="s">
        <v>165</v>
      </c>
      <c r="DV50" s="567">
        <f>IF(DK50-DQ50&lt;0,0,DK50-DQ50)</f>
        <v>0</v>
      </c>
      <c r="DW50" s="567"/>
      <c r="DX50" s="567"/>
      <c r="DY50" s="567"/>
      <c r="DZ50" s="22" t="s">
        <v>153</v>
      </c>
      <c r="EA50" s="574">
        <f>料率!AF$8</f>
        <v>0</v>
      </c>
      <c r="EB50" s="574"/>
      <c r="EC50" s="160" t="s">
        <v>66</v>
      </c>
      <c r="ED50" s="564">
        <v>100</v>
      </c>
      <c r="EE50" s="564"/>
      <c r="EF50" s="160" t="s">
        <v>67</v>
      </c>
      <c r="EG50" s="568">
        <f>IF(ER6=1,0,IF(DK50-DQ50&lt;0,0,ROUNDDOWN((DK50-DQ50)*EA50/ED50,0)))</f>
        <v>0</v>
      </c>
      <c r="EH50" s="568"/>
      <c r="EI50" s="568"/>
      <c r="EJ50" s="129"/>
      <c r="EK50" s="22"/>
      <c r="EL50" s="62" t="s">
        <v>71</v>
      </c>
      <c r="EM50" s="565">
        <f>IF(EB3=1,料率!AJ$8,0)</f>
        <v>0</v>
      </c>
      <c r="EN50" s="565"/>
      <c r="EO50" s="565"/>
      <c r="EP50" s="62"/>
      <c r="EQ50" s="569">
        <f>IF(EB3=1,IF(EF3=1,IF(CY22="２割軽減",料率!AJ13-EU39,IF(CY22="７割軽減",料率!AJ8,IF(CY22="５割軽減",料率!AJ8,料率!AJ13))),料率!AJ8),0)</f>
        <v>0</v>
      </c>
      <c r="ER50" s="569"/>
      <c r="ES50" s="569"/>
      <c r="ET50" s="56"/>
      <c r="EU50" s="570">
        <f>IF(AU11=DF3,IF(CY22="７割軽減",料率!B30,IF(CY22="５割軽減",料率!F30,IF(CY22="２割軽減",料率!J30,0))),0)</f>
        <v>0</v>
      </c>
      <c r="EV50" s="570"/>
      <c r="EW50" s="570"/>
      <c r="EX50" s="56"/>
      <c r="EY50" s="570">
        <f>IF(OR($AU$12=$DT$4,$AU$12=$DT$4),-EM50-EU50,0)</f>
        <v>0</v>
      </c>
      <c r="EZ50" s="570"/>
      <c r="FA50" s="570"/>
      <c r="FB50" s="56"/>
      <c r="FC50" s="570">
        <f t="shared" ref="FC50:FC55" si="13">IF(EL50=BK$24,IF(BP$24&gt;0,ROUNDUP((EG50+(EQ50+EU50))*BP$24/12,0),0),0)</f>
        <v>0</v>
      </c>
      <c r="FD50" s="571"/>
      <c r="FE50" s="572"/>
      <c r="FF50" s="22"/>
      <c r="FG50" s="558">
        <f>IF(CY23="平等割＋均等割半額",料率!AM13,FG54)</f>
        <v>0</v>
      </c>
      <c r="FH50" s="611"/>
      <c r="FI50" s="611"/>
      <c r="FJ50" s="22"/>
      <c r="FK50" s="22" t="s">
        <v>22</v>
      </c>
      <c r="FL50" s="22"/>
      <c r="FM50" s="22"/>
      <c r="FN50" s="22"/>
      <c r="FO50" s="22"/>
      <c r="FP50" s="22" t="s">
        <v>75</v>
      </c>
      <c r="FQ50" s="22"/>
      <c r="FR50" s="22"/>
      <c r="FS50" s="22"/>
      <c r="FT50" s="22" t="s">
        <v>77</v>
      </c>
      <c r="FU50" s="22"/>
      <c r="FV50" s="22"/>
      <c r="FW50" s="22"/>
      <c r="FX50" s="22"/>
      <c r="FY50" s="22"/>
      <c r="FZ50" s="22" t="s">
        <v>23</v>
      </c>
      <c r="GA50" s="22"/>
      <c r="GB50" s="22"/>
      <c r="GC50" s="22"/>
      <c r="GD50" s="22"/>
      <c r="GE50" s="22" t="s">
        <v>190</v>
      </c>
      <c r="GF50" s="22"/>
      <c r="GG50" s="22"/>
      <c r="GH50" s="22"/>
      <c r="GI50" s="52"/>
      <c r="GJ50" s="52"/>
    </row>
    <row r="51" spans="1:193" s="51" customFormat="1" ht="13.8"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0"/>
      <c r="BR51" s="170"/>
      <c r="BS51" s="170"/>
      <c r="BT51" s="170"/>
      <c r="BU51" s="170"/>
      <c r="BV51" s="170"/>
      <c r="BW51" s="170"/>
      <c r="BX51" s="170"/>
      <c r="BY51" s="170"/>
      <c r="BZ51" s="133"/>
      <c r="CB51" s="621"/>
      <c r="CC51" s="78"/>
      <c r="CD51" s="153" t="s">
        <v>154</v>
      </c>
      <c r="CE51" s="559">
        <f>(IF(EG50&gt;0,DK50,0)+IF(EG51&gt;0,DK51,0)+IF(EG52&gt;0,DK52,0)+IF(EG53&gt;0,DK53,0)+IF(EG54&gt;0,DK54,0)+IF(EG55&gt;0,DK55,0))</f>
        <v>0</v>
      </c>
      <c r="CF51" s="559"/>
      <c r="CG51" s="559"/>
      <c r="CH51" s="102" t="s">
        <v>64</v>
      </c>
      <c r="CI51" s="189" t="s">
        <v>65</v>
      </c>
      <c r="CJ51" s="560">
        <f>IF(EG50&gt;0,IF(DK50&gt;=DQ50,DQ50,DK50),0)+IF(EG51&gt;0,IF(DK51&gt;=DQ51,DQ51,DK51),0)+IF(EG52&gt;0,IF(DK52&gt;=DQ52,DQ52,DK52),0)+IF(EG53&gt;0,IF(DK53&gt;=DQ53,DQ53,DK53),0)+IF(EG54&gt;0,IF(DK54&gt;=DQ54,DQ54,DK54),0)+IF(EG55&gt;0,IF(DK55&gt;=DQ55,DQ55,DK55),0)</f>
        <v>0</v>
      </c>
      <c r="CK51" s="560"/>
      <c r="CL51" s="560"/>
      <c r="CM51" s="21" t="s">
        <v>64</v>
      </c>
      <c r="CN51" s="21" t="s">
        <v>153</v>
      </c>
      <c r="CO51" s="561">
        <f>EA50</f>
        <v>0</v>
      </c>
      <c r="CP51" s="561"/>
      <c r="CQ51" s="189" t="s">
        <v>66</v>
      </c>
      <c r="CR51" s="562">
        <v>100</v>
      </c>
      <c r="CS51" s="562"/>
      <c r="CT51" s="189" t="str">
        <f>IF($GE56=$GE55,"＝","≒")</f>
        <v>＝</v>
      </c>
      <c r="CU51" s="563">
        <f>IF($GE56=$GE55,DY56,EG56)</f>
        <v>0</v>
      </c>
      <c r="CV51" s="563"/>
      <c r="CW51" s="563"/>
      <c r="CX51" s="21"/>
      <c r="CY51" s="21"/>
      <c r="CZ51" s="21"/>
      <c r="DA51" s="21"/>
      <c r="DB51" s="80"/>
      <c r="DD51" s="133"/>
      <c r="DE51" s="21"/>
      <c r="DF51" s="22">
        <f t="shared" ref="DF51" si="14">IF(DV51&gt;0,1,0)</f>
        <v>0</v>
      </c>
      <c r="DG51" s="564" t="s">
        <v>63</v>
      </c>
      <c r="DH51" s="564"/>
      <c r="DI51" s="564"/>
      <c r="DJ51" s="54" t="s">
        <v>154</v>
      </c>
      <c r="DK51" s="565">
        <f t="shared" si="12"/>
        <v>0</v>
      </c>
      <c r="DL51" s="565"/>
      <c r="DM51" s="565"/>
      <c r="DN51" s="565"/>
      <c r="DO51" s="22" t="s">
        <v>64</v>
      </c>
      <c r="DP51" s="160" t="s">
        <v>65</v>
      </c>
      <c r="DQ51" s="605">
        <f>料率!E38</f>
        <v>430000</v>
      </c>
      <c r="DR51" s="605"/>
      <c r="DS51" s="605"/>
      <c r="DT51" s="22" t="s">
        <v>64</v>
      </c>
      <c r="DU51" s="22" t="s">
        <v>165</v>
      </c>
      <c r="DV51" s="567">
        <f t="shared" ref="DV51:DV55" si="15">IF(DK51-DQ51&lt;0,0,DK51-DQ51)</f>
        <v>0</v>
      </c>
      <c r="DW51" s="567"/>
      <c r="DX51" s="567"/>
      <c r="DY51" s="567"/>
      <c r="DZ51" s="22" t="s">
        <v>153</v>
      </c>
      <c r="EA51" s="574">
        <f>料率!AF$8</f>
        <v>0</v>
      </c>
      <c r="EB51" s="574"/>
      <c r="EC51" s="160" t="s">
        <v>66</v>
      </c>
      <c r="ED51" s="564">
        <v>100</v>
      </c>
      <c r="EE51" s="564"/>
      <c r="EF51" s="160" t="s">
        <v>67</v>
      </c>
      <c r="EG51" s="568">
        <f>IF(ER7=1,0,IF(DK51-DQ51&lt;0,0,ROUNDDOWN((DK51-DQ51)*EA51/ED51,0)))</f>
        <v>0</v>
      </c>
      <c r="EH51" s="568"/>
      <c r="EI51" s="568"/>
      <c r="EJ51" s="129"/>
      <c r="EK51" s="22"/>
      <c r="EL51" s="62" t="s">
        <v>136</v>
      </c>
      <c r="EM51" s="565">
        <f>IF(EB4=1,料率!AJ$8,0)</f>
        <v>0</v>
      </c>
      <c r="EN51" s="565"/>
      <c r="EO51" s="565"/>
      <c r="EP51" s="62"/>
      <c r="EQ51" s="612">
        <f>IF(EB4=1,IF(EF4=1,IF(CY22="２割軽減",料率!AJ13-EU40,IF(CY22="７割軽減",料率!AJ8,IF(CY22="５割軽減",料率!AJ8,料率!AJ13))),料率!AJ8),0)</f>
        <v>0</v>
      </c>
      <c r="ER51" s="613"/>
      <c r="ES51" s="614"/>
      <c r="ET51" s="56"/>
      <c r="EU51" s="570">
        <f>IF(BA11=DM3,IF(CY22="７割軽減",料率!B30,IF(CY22="５割軽減",料率!F30,IF(CY22="２割軽減",料率!J30,0))),0)</f>
        <v>0</v>
      </c>
      <c r="EV51" s="570"/>
      <c r="EW51" s="570"/>
      <c r="EX51" s="56"/>
      <c r="EY51" s="570">
        <f>IF(OR($BA$12=$DT$4,$BA$12=$DT$4),-EM51-EU51,0)</f>
        <v>0</v>
      </c>
      <c r="EZ51" s="570"/>
      <c r="FA51" s="570"/>
      <c r="FB51" s="56"/>
      <c r="FC51" s="570">
        <f t="shared" si="13"/>
        <v>0</v>
      </c>
      <c r="FD51" s="571"/>
      <c r="FE51" s="572"/>
      <c r="FF51" s="52"/>
      <c r="FG51" s="52" t="s">
        <v>102</v>
      </c>
      <c r="FH51" s="52"/>
      <c r="FI51" s="52"/>
      <c r="FJ51" s="52"/>
      <c r="FK51" s="579">
        <f>EG56</f>
        <v>0</v>
      </c>
      <c r="FL51" s="580"/>
      <c r="FM51" s="580"/>
      <c r="FN51" s="581"/>
      <c r="FO51" s="160" t="s">
        <v>76</v>
      </c>
      <c r="FP51" s="579">
        <f>EM56</f>
        <v>0</v>
      </c>
      <c r="FQ51" s="580"/>
      <c r="FR51" s="580"/>
      <c r="FS51" s="581"/>
      <c r="FT51" s="160" t="s">
        <v>76</v>
      </c>
      <c r="FU51" s="575">
        <f>FG54</f>
        <v>0</v>
      </c>
      <c r="FV51" s="576"/>
      <c r="FW51" s="576"/>
      <c r="FX51" s="577"/>
      <c r="FY51" s="160" t="s">
        <v>67</v>
      </c>
      <c r="FZ51" s="579">
        <f>FK51+FP51+FU51</f>
        <v>0</v>
      </c>
      <c r="GA51" s="580"/>
      <c r="GB51" s="580"/>
      <c r="GC51" s="581"/>
      <c r="GD51" s="160" t="s">
        <v>78</v>
      </c>
      <c r="GE51" s="575">
        <f>IF(FZ51&gt;料率!E44,料率!E44,ROUNDDOWN(FZ51,-2))</f>
        <v>0</v>
      </c>
      <c r="GF51" s="576"/>
      <c r="GG51" s="576"/>
      <c r="GH51" s="577"/>
      <c r="GI51" s="22"/>
      <c r="GJ51" s="22"/>
      <c r="GK51" s="21"/>
    </row>
    <row r="52" spans="1:193" s="51" customFormat="1" ht="13.8"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33"/>
      <c r="CB52" s="621"/>
      <c r="CC52" s="85"/>
      <c r="CD52" s="86" t="str">
        <f>IF(SUM(EF3:EF8)&gt;0,"※社保の扶養が外れた６５歳以上の方は、当分の間所得割がかかりません","")</f>
        <v/>
      </c>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94"/>
      <c r="DD52" s="3" t="s">
        <v>218</v>
      </c>
      <c r="DE52" s="21"/>
      <c r="DF52" s="22">
        <f>IF(DV52&gt;0,1,0)</f>
        <v>0</v>
      </c>
      <c r="DG52" s="564" t="s">
        <v>68</v>
      </c>
      <c r="DH52" s="564"/>
      <c r="DI52" s="564"/>
      <c r="DJ52" s="54" t="s">
        <v>154</v>
      </c>
      <c r="DK52" s="565">
        <f t="shared" si="12"/>
        <v>0</v>
      </c>
      <c r="DL52" s="565"/>
      <c r="DM52" s="565"/>
      <c r="DN52" s="565"/>
      <c r="DO52" s="22" t="s">
        <v>64</v>
      </c>
      <c r="DP52" s="160" t="s">
        <v>65</v>
      </c>
      <c r="DQ52" s="605">
        <f>料率!E38</f>
        <v>430000</v>
      </c>
      <c r="DR52" s="605"/>
      <c r="DS52" s="605"/>
      <c r="DT52" s="22" t="s">
        <v>64</v>
      </c>
      <c r="DU52" s="22" t="s">
        <v>165</v>
      </c>
      <c r="DV52" s="567">
        <f t="shared" si="15"/>
        <v>0</v>
      </c>
      <c r="DW52" s="567"/>
      <c r="DX52" s="567"/>
      <c r="DY52" s="567"/>
      <c r="DZ52" s="22" t="s">
        <v>153</v>
      </c>
      <c r="EA52" s="574">
        <f>料率!AF$8</f>
        <v>0</v>
      </c>
      <c r="EB52" s="574"/>
      <c r="EC52" s="160" t="s">
        <v>66</v>
      </c>
      <c r="ED52" s="564">
        <v>100</v>
      </c>
      <c r="EE52" s="564"/>
      <c r="EF52" s="160" t="s">
        <v>67</v>
      </c>
      <c r="EG52" s="568">
        <f t="shared" ref="EG52:EG54" si="16">IF(ER8=1,0,IF(DK52-DQ52&lt;0,0,ROUNDDOWN((DK52-DQ52)*EA52/ED52,0)))</f>
        <v>0</v>
      </c>
      <c r="EH52" s="568"/>
      <c r="EI52" s="568"/>
      <c r="EJ52" s="129"/>
      <c r="EK52" s="22"/>
      <c r="EL52" s="62" t="s">
        <v>137</v>
      </c>
      <c r="EM52" s="565">
        <f>IF(EB5=1,料率!AJ$8,0)</f>
        <v>0</v>
      </c>
      <c r="EN52" s="565"/>
      <c r="EO52" s="565"/>
      <c r="EP52" s="62"/>
      <c r="EQ52" s="569">
        <f>IF(EB5=1,IF(EF5=1,IF(CY22="２割軽減",料率!AJ13-EU41,IF(CY22="７割軽減",料率!AJ8,IF(CY22="５割軽減",料率!AJ8,料率!AJ13))),料率!AJ8),0)</f>
        <v>0</v>
      </c>
      <c r="ER52" s="569"/>
      <c r="ES52" s="569"/>
      <c r="ET52" s="56"/>
      <c r="EU52" s="570">
        <f>IF(BF11=DM3,IF(CY22="７割軽減",料率!B30,IF(CY22="５割軽減",料率!F30,IF(CY22="２割軽減",料率!J30,0))),0)</f>
        <v>0</v>
      </c>
      <c r="EV52" s="570"/>
      <c r="EW52" s="570"/>
      <c r="EX52" s="52"/>
      <c r="EY52" s="570">
        <f>IF(OR($BF$12=$DT$4,$BF$12=$DT$4),-EM52-EU52,0)</f>
        <v>0</v>
      </c>
      <c r="EZ52" s="570"/>
      <c r="FA52" s="570"/>
      <c r="FB52" s="52"/>
      <c r="FC52" s="570">
        <f t="shared" si="13"/>
        <v>0</v>
      </c>
      <c r="FD52" s="571"/>
      <c r="FE52" s="572"/>
      <c r="FF52" s="52"/>
      <c r="FG52" s="570">
        <f>IF(CY23="平等割半額",IF(CY22="７割軽減",料率!O30,IF(CY22="５割軽減",料率!Q30,IF(CY22="２割軽減",料率!S30,0))),IF(CY23="平等割＋均等割半額",0,IF(CY22="７割軽減",料率!D30,IF(CY22="５割軽減",料率!H30,IF(CY22="２割軽減",料率!L30,0)))))</f>
        <v>0</v>
      </c>
      <c r="FH52" s="570"/>
      <c r="FI52" s="570"/>
      <c r="FJ52" s="52"/>
      <c r="FK52" s="52"/>
      <c r="FL52" s="22"/>
      <c r="FM52" s="22"/>
      <c r="FN52" s="52"/>
      <c r="FO52" s="52"/>
      <c r="FP52" s="52"/>
      <c r="FQ52" s="52"/>
      <c r="FR52" s="52"/>
      <c r="FS52" s="52"/>
      <c r="FT52" s="52"/>
      <c r="FU52" s="52"/>
      <c r="FV52" s="52"/>
      <c r="FW52" s="52"/>
      <c r="FX52" s="52"/>
      <c r="FY52" s="52"/>
      <c r="FZ52" s="52"/>
      <c r="GA52" s="52"/>
      <c r="GB52" s="52"/>
      <c r="GC52" s="52"/>
      <c r="GD52" s="52"/>
      <c r="GE52" s="52"/>
      <c r="GF52" s="52"/>
      <c r="GG52" s="52"/>
      <c r="GH52" s="52"/>
      <c r="GI52" s="52"/>
      <c r="GJ52" s="52"/>
    </row>
    <row r="53" spans="1:193" s="51" customFormat="1" ht="13.8"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33"/>
      <c r="CB53" s="621"/>
      <c r="CC53" s="81"/>
      <c r="CD53" s="82" t="s">
        <v>172</v>
      </c>
      <c r="CE53" s="82"/>
      <c r="CF53" s="82"/>
      <c r="CG53" s="82" t="s">
        <v>163</v>
      </c>
      <c r="CH53" s="82"/>
      <c r="CI53" s="82"/>
      <c r="CJ53" s="82"/>
      <c r="CK53" s="82"/>
      <c r="CL53" s="82"/>
      <c r="CM53" s="82"/>
      <c r="CN53" s="82"/>
      <c r="CO53" s="82"/>
      <c r="CP53" s="82"/>
      <c r="CQ53" s="82"/>
      <c r="CR53" s="82"/>
      <c r="CS53" s="82"/>
      <c r="CT53" s="82"/>
      <c r="CU53" s="82"/>
      <c r="CV53" s="82"/>
      <c r="CW53" s="82"/>
      <c r="CX53" s="82"/>
      <c r="CY53" s="82"/>
      <c r="CZ53" s="82"/>
      <c r="DA53" s="82"/>
      <c r="DB53" s="89"/>
      <c r="DD53" s="133"/>
      <c r="DE53" s="21"/>
      <c r="DF53" s="22">
        <f t="shared" ref="DF53:DF55" si="17">IF(DV53&gt;0,1,0)</f>
        <v>0</v>
      </c>
      <c r="DG53" s="564" t="s">
        <v>69</v>
      </c>
      <c r="DH53" s="564"/>
      <c r="DI53" s="564"/>
      <c r="DJ53" s="54" t="s">
        <v>154</v>
      </c>
      <c r="DK53" s="565">
        <f t="shared" si="12"/>
        <v>0</v>
      </c>
      <c r="DL53" s="565"/>
      <c r="DM53" s="565"/>
      <c r="DN53" s="565"/>
      <c r="DO53" s="22" t="s">
        <v>64</v>
      </c>
      <c r="DP53" s="160" t="s">
        <v>65</v>
      </c>
      <c r="DQ53" s="605">
        <f>料率!E38</f>
        <v>430000</v>
      </c>
      <c r="DR53" s="605"/>
      <c r="DS53" s="605"/>
      <c r="DT53" s="22" t="s">
        <v>64</v>
      </c>
      <c r="DU53" s="22" t="s">
        <v>165</v>
      </c>
      <c r="DV53" s="567">
        <f t="shared" si="15"/>
        <v>0</v>
      </c>
      <c r="DW53" s="567"/>
      <c r="DX53" s="567"/>
      <c r="DY53" s="567"/>
      <c r="DZ53" s="22" t="s">
        <v>153</v>
      </c>
      <c r="EA53" s="574">
        <f>料率!AF$8</f>
        <v>0</v>
      </c>
      <c r="EB53" s="574"/>
      <c r="EC53" s="160" t="s">
        <v>66</v>
      </c>
      <c r="ED53" s="564">
        <v>100</v>
      </c>
      <c r="EE53" s="564"/>
      <c r="EF53" s="160" t="s">
        <v>67</v>
      </c>
      <c r="EG53" s="568">
        <f t="shared" si="16"/>
        <v>0</v>
      </c>
      <c r="EH53" s="568"/>
      <c r="EI53" s="568"/>
      <c r="EJ53" s="129"/>
      <c r="EK53" s="22"/>
      <c r="EL53" s="62" t="s">
        <v>138</v>
      </c>
      <c r="EM53" s="565">
        <f>IF(EB6=1,料率!AJ$8,0)</f>
        <v>0</v>
      </c>
      <c r="EN53" s="565"/>
      <c r="EO53" s="565"/>
      <c r="EP53" s="62"/>
      <c r="EQ53" s="569">
        <f>IF(EB6=1,IF(EF6=1,IF(CY22="２割軽減",料率!AJ13-EU42,IF(CY22="７割軽減",料率!AJ8,IF(CY22="５割軽減",料率!AJ8,料率!AJ13))),料率!AJ8),0)</f>
        <v>0</v>
      </c>
      <c r="ER53" s="569"/>
      <c r="ES53" s="569"/>
      <c r="ET53" s="56"/>
      <c r="EU53" s="570">
        <f>IF(BK11=DM3,IF(CY22="７割軽減",料率!B30,IF(CY22="５割軽減",料率!F30,IF(CY22="２割軽減",料率!J30,0))),0)</f>
        <v>0</v>
      </c>
      <c r="EV53" s="570"/>
      <c r="EW53" s="570"/>
      <c r="EX53" s="52"/>
      <c r="EY53" s="570">
        <f>IF(OR($BK$12=$DT$4,$BK$12=$DT$4),-EM53-EU53,0)</f>
        <v>0</v>
      </c>
      <c r="EZ53" s="570"/>
      <c r="FA53" s="570"/>
      <c r="FB53" s="52"/>
      <c r="FC53" s="570">
        <f t="shared" si="13"/>
        <v>0</v>
      </c>
      <c r="FD53" s="571"/>
      <c r="FE53" s="572"/>
      <c r="FF53" s="52"/>
      <c r="FG53" s="22" t="s">
        <v>149</v>
      </c>
      <c r="FH53" s="52"/>
      <c r="FI53" s="52"/>
      <c r="FJ53" s="22"/>
      <c r="FK53" s="98" t="s">
        <v>224</v>
      </c>
      <c r="FL53" s="22"/>
      <c r="FM53" s="4"/>
      <c r="FN53" s="10"/>
      <c r="FO53" s="58"/>
      <c r="FP53" s="58"/>
      <c r="FQ53" s="58"/>
      <c r="FR53" s="58"/>
      <c r="FS53" s="59"/>
      <c r="FT53" s="59"/>
      <c r="FU53" s="59"/>
      <c r="FV53" s="58"/>
      <c r="FW53" s="59"/>
      <c r="FX53" s="59"/>
      <c r="FY53" s="59"/>
      <c r="FZ53" s="58"/>
      <c r="GA53" s="59"/>
      <c r="GB53" s="59"/>
      <c r="GC53" s="59"/>
      <c r="GD53" s="56"/>
      <c r="GE53" s="60"/>
      <c r="GF53" s="60"/>
      <c r="GG53" s="60"/>
      <c r="GH53" s="52"/>
      <c r="GI53" s="52"/>
      <c r="GJ53" s="52"/>
    </row>
    <row r="54" spans="1:193" s="51" customFormat="1" ht="13.8"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33"/>
      <c r="CB54" s="621"/>
      <c r="CC54" s="85"/>
      <c r="CD54" s="90" t="s">
        <v>154</v>
      </c>
      <c r="CE54" s="101">
        <f>CE32</f>
        <v>1</v>
      </c>
      <c r="CF54" s="100" t="s">
        <v>151</v>
      </c>
      <c r="CG54" s="166" t="s">
        <v>150</v>
      </c>
      <c r="CH54" s="598">
        <f>料率!AJ8</f>
        <v>0</v>
      </c>
      <c r="CI54" s="598"/>
      <c r="CJ54" s="598"/>
      <c r="CK54" s="90" t="s">
        <v>64</v>
      </c>
      <c r="CL54" s="90" t="s">
        <v>161</v>
      </c>
      <c r="CM54" s="599">
        <f>CE54*CH54-CI48</f>
        <v>0</v>
      </c>
      <c r="CN54" s="599"/>
      <c r="CO54" s="599"/>
      <c r="CP54" s="90" t="s">
        <v>64</v>
      </c>
      <c r="CQ54" s="90" t="s">
        <v>67</v>
      </c>
      <c r="CR54" s="598">
        <f>EQ56+EU56+EY56</f>
        <v>0</v>
      </c>
      <c r="CS54" s="600"/>
      <c r="CT54" s="600"/>
      <c r="CU54" s="600"/>
      <c r="CV54" s="87"/>
      <c r="CW54" s="87"/>
      <c r="CX54" s="87"/>
      <c r="CY54" s="87"/>
      <c r="CZ54" s="87"/>
      <c r="DA54" s="87"/>
      <c r="DB54" s="88"/>
      <c r="DD54" s="133"/>
      <c r="DE54" s="21"/>
      <c r="DF54" s="22">
        <f t="shared" si="17"/>
        <v>0</v>
      </c>
      <c r="DG54" s="564" t="s">
        <v>70</v>
      </c>
      <c r="DH54" s="564"/>
      <c r="DI54" s="564"/>
      <c r="DJ54" s="54" t="s">
        <v>154</v>
      </c>
      <c r="DK54" s="565">
        <f t="shared" si="12"/>
        <v>0</v>
      </c>
      <c r="DL54" s="565"/>
      <c r="DM54" s="565"/>
      <c r="DN54" s="565"/>
      <c r="DO54" s="22" t="s">
        <v>64</v>
      </c>
      <c r="DP54" s="160" t="s">
        <v>65</v>
      </c>
      <c r="DQ54" s="605">
        <f>料率!E38</f>
        <v>430000</v>
      </c>
      <c r="DR54" s="605"/>
      <c r="DS54" s="605"/>
      <c r="DT54" s="22" t="s">
        <v>64</v>
      </c>
      <c r="DU54" s="22" t="s">
        <v>165</v>
      </c>
      <c r="DV54" s="567">
        <f t="shared" si="15"/>
        <v>0</v>
      </c>
      <c r="DW54" s="567"/>
      <c r="DX54" s="567"/>
      <c r="DY54" s="567"/>
      <c r="DZ54" s="22" t="s">
        <v>153</v>
      </c>
      <c r="EA54" s="574">
        <f>料率!AF$8</f>
        <v>0</v>
      </c>
      <c r="EB54" s="574"/>
      <c r="EC54" s="160" t="s">
        <v>66</v>
      </c>
      <c r="ED54" s="564">
        <v>100</v>
      </c>
      <c r="EE54" s="564"/>
      <c r="EF54" s="160" t="s">
        <v>67</v>
      </c>
      <c r="EG54" s="568">
        <f t="shared" si="16"/>
        <v>0</v>
      </c>
      <c r="EH54" s="568"/>
      <c r="EI54" s="568"/>
      <c r="EJ54" s="129"/>
      <c r="EK54" s="22"/>
      <c r="EL54" s="62" t="s">
        <v>139</v>
      </c>
      <c r="EM54" s="565">
        <f>IF(EB7=1,料率!AJ$8,0)</f>
        <v>0</v>
      </c>
      <c r="EN54" s="565"/>
      <c r="EO54" s="565"/>
      <c r="EP54" s="62"/>
      <c r="EQ54" s="569">
        <f>IF(EB7=1,IF(EF7=1,IF(CY22="２割軽減",料率!AJ13-EU43,IF(CY22="７割軽減",料率!AJ8,IF(CY22="５割軽減",料率!AJ8,料率!AJ13))),料率!AJ8),0)</f>
        <v>0</v>
      </c>
      <c r="ER54" s="569"/>
      <c r="ES54" s="569"/>
      <c r="ET54" s="56"/>
      <c r="EU54" s="570">
        <f>IF(BP11=DM3,IF(CY22="７割軽減",料率!B30,IF(CY22="５割軽減",料率!F30,IF(CY22="２割軽減",料率!J30,0))),0)</f>
        <v>0</v>
      </c>
      <c r="EV54" s="570"/>
      <c r="EW54" s="570"/>
      <c r="EX54" s="52"/>
      <c r="EY54" s="570">
        <f>IF(OR($BP$12=$DT$4,$BP$12=$DT$4),-EM54-EU54,0)</f>
        <v>0</v>
      </c>
      <c r="EZ54" s="570"/>
      <c r="FA54" s="570"/>
      <c r="FB54" s="52"/>
      <c r="FC54" s="570">
        <f t="shared" si="13"/>
        <v>0</v>
      </c>
      <c r="FD54" s="571"/>
      <c r="FE54" s="572"/>
      <c r="FF54" s="52"/>
      <c r="FG54" s="575">
        <f>IF(CY23="平等割半額",料率!AM13,料率!AM8)</f>
        <v>0</v>
      </c>
      <c r="FH54" s="576"/>
      <c r="FI54" s="577"/>
      <c r="FJ54" s="52"/>
      <c r="FK54" s="22" t="s">
        <v>22</v>
      </c>
      <c r="FL54" s="22"/>
      <c r="FM54" s="22"/>
      <c r="FN54" s="22"/>
      <c r="FO54" s="22"/>
      <c r="FP54" s="22" t="s">
        <v>75</v>
      </c>
      <c r="FQ54" s="22"/>
      <c r="FR54" s="22"/>
      <c r="FS54" s="22"/>
      <c r="FT54" s="22" t="s">
        <v>77</v>
      </c>
      <c r="FU54" s="22"/>
      <c r="FV54" s="22"/>
      <c r="FW54" s="22"/>
      <c r="FX54" s="22"/>
      <c r="FY54" s="22"/>
      <c r="FZ54" s="22" t="s">
        <v>23</v>
      </c>
      <c r="GA54" s="22"/>
      <c r="GB54" s="22"/>
      <c r="GC54" s="22"/>
      <c r="GD54" s="22"/>
      <c r="GE54" s="22" t="s">
        <v>190</v>
      </c>
      <c r="GF54" s="22"/>
      <c r="GG54" s="22"/>
      <c r="GH54" s="52"/>
      <c r="GI54" s="52"/>
      <c r="GJ54" s="52"/>
    </row>
    <row r="55" spans="1:193" s="51" customFormat="1" ht="13.8"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33"/>
      <c r="CB55" s="621"/>
      <c r="CC55" s="21"/>
      <c r="CD55" s="21" t="s">
        <v>173</v>
      </c>
      <c r="CE55" s="21"/>
      <c r="CF55" s="21"/>
      <c r="CG55" s="21" t="s">
        <v>164</v>
      </c>
      <c r="CH55" s="21"/>
      <c r="CI55" s="21"/>
      <c r="CJ55" s="21"/>
      <c r="CK55" s="21"/>
      <c r="CL55" s="21"/>
      <c r="CM55" s="21"/>
      <c r="CN55" s="21"/>
      <c r="CO55" s="21"/>
      <c r="CP55" s="21"/>
      <c r="CQ55" s="21"/>
      <c r="CR55" s="21"/>
      <c r="CS55" s="21"/>
      <c r="CT55" s="21"/>
      <c r="CU55" s="21"/>
      <c r="CV55" s="21"/>
      <c r="CW55" s="21"/>
      <c r="CX55" s="21"/>
      <c r="CY55" s="21"/>
      <c r="CZ55" s="21"/>
      <c r="DA55" s="21"/>
      <c r="DB55" s="79"/>
      <c r="DD55" s="133"/>
      <c r="DE55" s="21"/>
      <c r="DF55" s="22">
        <f t="shared" si="17"/>
        <v>0</v>
      </c>
      <c r="DG55" s="564" t="s">
        <v>74</v>
      </c>
      <c r="DH55" s="564"/>
      <c r="DI55" s="564"/>
      <c r="DJ55" s="54" t="s">
        <v>154</v>
      </c>
      <c r="DK55" s="565">
        <f t="shared" si="12"/>
        <v>0</v>
      </c>
      <c r="DL55" s="565"/>
      <c r="DM55" s="565"/>
      <c r="DN55" s="565"/>
      <c r="DO55" s="22" t="s">
        <v>64</v>
      </c>
      <c r="DP55" s="160" t="s">
        <v>65</v>
      </c>
      <c r="DQ55" s="605">
        <f>料率!E38</f>
        <v>430000</v>
      </c>
      <c r="DR55" s="605"/>
      <c r="DS55" s="605"/>
      <c r="DT55" s="22" t="s">
        <v>64</v>
      </c>
      <c r="DU55" s="22" t="s">
        <v>165</v>
      </c>
      <c r="DV55" s="567">
        <f t="shared" si="15"/>
        <v>0</v>
      </c>
      <c r="DW55" s="567"/>
      <c r="DX55" s="567"/>
      <c r="DY55" s="567"/>
      <c r="DZ55" s="22" t="s">
        <v>153</v>
      </c>
      <c r="EA55" s="574">
        <f>料率!AF$8</f>
        <v>0</v>
      </c>
      <c r="EB55" s="574"/>
      <c r="EC55" s="160" t="s">
        <v>66</v>
      </c>
      <c r="ED55" s="564">
        <v>100</v>
      </c>
      <c r="EE55" s="564"/>
      <c r="EF55" s="160" t="s">
        <v>67</v>
      </c>
      <c r="EG55" s="568">
        <f>IF(ER11=1,0,IF(DK55-DQ55&lt;0,0,ROUNDDOWN((DK55-DQ55)*EA55/ED55,0)))</f>
        <v>0</v>
      </c>
      <c r="EH55" s="568"/>
      <c r="EI55" s="568"/>
      <c r="EJ55" s="129"/>
      <c r="EK55" s="22"/>
      <c r="EL55" s="62" t="s">
        <v>140</v>
      </c>
      <c r="EM55" s="565">
        <f>IF(EB8=1,料率!AJ$8,0)</f>
        <v>0</v>
      </c>
      <c r="EN55" s="565"/>
      <c r="EO55" s="565"/>
      <c r="EP55" s="62"/>
      <c r="EQ55" s="569">
        <f>IF(EB8=1,IF(EF8=1,IF(CY22="２割軽減",料率!AJ13-EU44,IF(CY22="７割軽減",料率!AJ8,IF(CY22="５割軽減",料率!AJ8,料率!AJ13))),料率!AJ8),0)</f>
        <v>0</v>
      </c>
      <c r="ER55" s="569"/>
      <c r="ES55" s="569"/>
      <c r="ET55" s="52"/>
      <c r="EU55" s="570">
        <f>IF(BU11=DM3,IF(CY22="７割軽減",料率!B30,IF(CY22="５割軽減",料率!F30,IF(CY22="２割軽減",料率!J30,0))),0)</f>
        <v>0</v>
      </c>
      <c r="EV55" s="570"/>
      <c r="EW55" s="570"/>
      <c r="EX55" s="52"/>
      <c r="EY55" s="570">
        <f>IF(OR($BU$12=$DT$4,$BU$12=$DT$4),-EM55-EU55,0)</f>
        <v>0</v>
      </c>
      <c r="EZ55" s="570"/>
      <c r="FA55" s="570"/>
      <c r="FB55" s="52"/>
      <c r="FC55" s="570">
        <f t="shared" si="13"/>
        <v>0</v>
      </c>
      <c r="FD55" s="571"/>
      <c r="FE55" s="572"/>
      <c r="FF55" s="52"/>
      <c r="FG55" s="160"/>
      <c r="FH55" s="52"/>
      <c r="FI55" s="52"/>
      <c r="FJ55" s="97" t="s">
        <v>188</v>
      </c>
      <c r="FK55" s="579">
        <f>EG56</f>
        <v>0</v>
      </c>
      <c r="FL55" s="580"/>
      <c r="FM55" s="580"/>
      <c r="FN55" s="581"/>
      <c r="FO55" s="160" t="s">
        <v>76</v>
      </c>
      <c r="FP55" s="579">
        <f>EQ56+EU56+EY56</f>
        <v>0</v>
      </c>
      <c r="FQ55" s="580"/>
      <c r="FR55" s="580"/>
      <c r="FS55" s="581"/>
      <c r="FT55" s="160" t="s">
        <v>76</v>
      </c>
      <c r="FU55" s="575">
        <f>FG50+FG52</f>
        <v>0</v>
      </c>
      <c r="FV55" s="576"/>
      <c r="FW55" s="576"/>
      <c r="FX55" s="577"/>
      <c r="FY55" s="160" t="s">
        <v>67</v>
      </c>
      <c r="FZ55" s="579">
        <f>FK55+FP55+FU55</f>
        <v>0</v>
      </c>
      <c r="GA55" s="580"/>
      <c r="GB55" s="580"/>
      <c r="GC55" s="581"/>
      <c r="GD55" s="160" t="s">
        <v>78</v>
      </c>
      <c r="GE55" s="575">
        <f>IF(FZ55&gt;料率!E44,料率!E44,ROUNDDOWN(FZ55,-2))</f>
        <v>0</v>
      </c>
      <c r="GF55" s="576"/>
      <c r="GG55" s="576"/>
      <c r="GH55" s="577"/>
      <c r="GI55" s="52" t="s">
        <v>134</v>
      </c>
      <c r="GJ55" s="52"/>
    </row>
    <row r="56" spans="1:193" s="51" customFormat="1" ht="13.8"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70"/>
      <c r="AR56" s="170"/>
      <c r="AS56" s="170"/>
      <c r="AT56" s="170"/>
      <c r="AU56" s="170"/>
      <c r="AV56" s="170"/>
      <c r="AW56" s="170"/>
      <c r="AX56" s="170"/>
      <c r="AY56" s="170"/>
      <c r="AZ56" s="170"/>
      <c r="BA56" s="170"/>
      <c r="BB56" s="170"/>
      <c r="BC56" s="170"/>
      <c r="BD56" s="170"/>
      <c r="BE56" s="170"/>
      <c r="BF56" s="170"/>
      <c r="BG56" s="170"/>
      <c r="BH56" s="170"/>
      <c r="BI56" s="170"/>
      <c r="BJ56" s="170"/>
      <c r="BK56" s="170"/>
      <c r="BL56" s="170"/>
      <c r="BM56" s="170"/>
      <c r="BN56" s="170"/>
      <c r="BO56" s="170"/>
      <c r="BP56" s="170"/>
      <c r="BQ56" s="170"/>
      <c r="BR56" s="170"/>
      <c r="BS56" s="170"/>
      <c r="BT56" s="170"/>
      <c r="BU56" s="170"/>
      <c r="BV56" s="170"/>
      <c r="BW56" s="170"/>
      <c r="BX56" s="170"/>
      <c r="BY56" s="170"/>
      <c r="BZ56" s="133"/>
      <c r="CB56" s="622"/>
      <c r="CC56" s="57"/>
      <c r="CD56" s="61" t="s">
        <v>154</v>
      </c>
      <c r="CE56" s="57"/>
      <c r="CF56" s="92"/>
      <c r="CG56" s="61" t="s">
        <v>152</v>
      </c>
      <c r="CH56" s="583">
        <f>料率!AM8</f>
        <v>0</v>
      </c>
      <c r="CI56" s="583"/>
      <c r="CJ56" s="583"/>
      <c r="CK56" s="61" t="s">
        <v>64</v>
      </c>
      <c r="CL56" s="61" t="s">
        <v>161</v>
      </c>
      <c r="CM56" s="584">
        <f>CH56-CN48</f>
        <v>0</v>
      </c>
      <c r="CN56" s="584"/>
      <c r="CO56" s="584"/>
      <c r="CP56" s="61" t="s">
        <v>64</v>
      </c>
      <c r="CQ56" s="61" t="s">
        <v>67</v>
      </c>
      <c r="CR56" s="583">
        <f>FG50+FG52</f>
        <v>0</v>
      </c>
      <c r="CS56" s="384"/>
      <c r="CT56" s="384"/>
      <c r="CU56" s="384"/>
      <c r="CV56" s="57"/>
      <c r="CW56" s="57"/>
      <c r="CX56" s="57"/>
      <c r="CY56" s="57"/>
      <c r="CZ56" s="57"/>
      <c r="DA56" s="57"/>
      <c r="DB56" s="93"/>
      <c r="DD56" s="133"/>
      <c r="DE56" s="21"/>
      <c r="DF56" s="22"/>
      <c r="DG56" s="22"/>
      <c r="DH56" s="22"/>
      <c r="DI56" s="22"/>
      <c r="DJ56" s="22"/>
      <c r="DK56" s="22"/>
      <c r="DL56" s="22"/>
      <c r="DM56" s="22"/>
      <c r="DN56" s="22"/>
      <c r="DO56" s="22"/>
      <c r="DP56" s="22"/>
      <c r="DQ56" s="22"/>
      <c r="DR56" s="22"/>
      <c r="DS56" s="22"/>
      <c r="DT56" s="22"/>
      <c r="DU56" s="22"/>
      <c r="DV56" s="22"/>
      <c r="DW56" s="22"/>
      <c r="DX56" s="54" t="s">
        <v>177</v>
      </c>
      <c r="DY56" s="585">
        <f>ROUNDDOWN((IF(EG50&gt;0,DV50,0)+IF(EG51&gt;0,DV51,0)+IF(EG52&gt;0,DV52,0)+IF(EG53&gt;0,DV53,0)+IF(EG54&gt;0,DV54,0)+IF(EG55&gt;0,DV55,0))*EA50/100,0)</f>
        <v>0</v>
      </c>
      <c r="DZ56" s="585"/>
      <c r="EA56" s="585"/>
      <c r="EB56" s="22"/>
      <c r="EC56" s="22"/>
      <c r="ED56" s="22"/>
      <c r="EE56" s="22"/>
      <c r="EF56" s="54" t="s">
        <v>80</v>
      </c>
      <c r="EG56" s="585">
        <f>EG50+EG51+EG52+EG53+EG54+EG55</f>
        <v>0</v>
      </c>
      <c r="EH56" s="585"/>
      <c r="EI56" s="585"/>
      <c r="EJ56" s="159"/>
      <c r="EK56" s="22"/>
      <c r="EL56" s="54" t="s">
        <v>148</v>
      </c>
      <c r="EM56" s="587">
        <f>EM50+EM51+EM52+EM53+EM54+EM55</f>
        <v>0</v>
      </c>
      <c r="EN56" s="588"/>
      <c r="EO56" s="588"/>
      <c r="EP56" s="63"/>
      <c r="EQ56" s="569">
        <f>SUM(EQ50:ES55)</f>
        <v>0</v>
      </c>
      <c r="ER56" s="569"/>
      <c r="ES56" s="569"/>
      <c r="ET56" s="52"/>
      <c r="EU56" s="623">
        <f>SUM(EU50:EW55)</f>
        <v>0</v>
      </c>
      <c r="EV56" s="623"/>
      <c r="EW56" s="623"/>
      <c r="EX56" s="52"/>
      <c r="EY56" s="623">
        <f>SUM(EY50:FA55)</f>
        <v>0</v>
      </c>
      <c r="EZ56" s="623"/>
      <c r="FA56" s="623"/>
      <c r="FB56" s="52"/>
      <c r="FC56" s="570">
        <f>SUM(FC50:FE55)</f>
        <v>0</v>
      </c>
      <c r="FD56" s="570"/>
      <c r="FE56" s="570"/>
      <c r="FF56" s="22"/>
      <c r="FG56" s="164"/>
      <c r="FH56" s="52"/>
      <c r="FI56" s="52"/>
      <c r="FJ56" s="97" t="s">
        <v>189</v>
      </c>
      <c r="FK56" s="579">
        <f>DY56</f>
        <v>0</v>
      </c>
      <c r="FL56" s="580"/>
      <c r="FM56" s="580"/>
      <c r="FN56" s="581"/>
      <c r="FO56" s="160" t="s">
        <v>76</v>
      </c>
      <c r="FP56" s="579">
        <f>EQ56+EU56+EY56</f>
        <v>0</v>
      </c>
      <c r="FQ56" s="580"/>
      <c r="FR56" s="580"/>
      <c r="FS56" s="581"/>
      <c r="FT56" s="160" t="s">
        <v>76</v>
      </c>
      <c r="FU56" s="575">
        <f>FG50+FG52</f>
        <v>0</v>
      </c>
      <c r="FV56" s="576"/>
      <c r="FW56" s="576"/>
      <c r="FX56" s="577"/>
      <c r="FY56" s="160" t="s">
        <v>67</v>
      </c>
      <c r="FZ56" s="579">
        <f>FK56+FP56+FU56</f>
        <v>0</v>
      </c>
      <c r="GA56" s="580"/>
      <c r="GB56" s="580"/>
      <c r="GC56" s="581"/>
      <c r="GD56" s="160" t="s">
        <v>78</v>
      </c>
      <c r="GE56" s="575">
        <f>IF(FZ56&gt;料率!E44,料率!E44,ROUNDDOWN(FZ56,-2))</f>
        <v>0</v>
      </c>
      <c r="GF56" s="576"/>
      <c r="GG56" s="576"/>
      <c r="GH56" s="577"/>
      <c r="GI56" s="99">
        <f>GE55-GE56</f>
        <v>0</v>
      </c>
      <c r="GJ56" s="52"/>
    </row>
    <row r="57" spans="1:193" s="51" customFormat="1" ht="13.8"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0"/>
      <c r="BW57" s="170"/>
      <c r="BX57" s="170"/>
      <c r="BY57" s="170"/>
      <c r="BZ57" s="133"/>
      <c r="CB57" s="75"/>
      <c r="DA57" s="21"/>
      <c r="DD57" s="133"/>
      <c r="DF57" s="52"/>
      <c r="DG57" s="52"/>
      <c r="DH57" s="52"/>
      <c r="DI57" s="52"/>
      <c r="DJ57" s="52"/>
      <c r="DK57" s="52"/>
      <c r="DL57" s="52"/>
      <c r="DM57" s="52"/>
      <c r="DN57" s="52"/>
      <c r="DO57" s="52"/>
      <c r="DP57" s="52"/>
      <c r="DQ57" s="52"/>
      <c r="DR57" s="52"/>
      <c r="DS57" s="52"/>
      <c r="DT57" s="52"/>
      <c r="DU57" s="52"/>
      <c r="DV57" s="52"/>
      <c r="DW57" s="52"/>
      <c r="DX57" s="52"/>
      <c r="DY57" s="52"/>
      <c r="DZ57" s="52"/>
      <c r="EA57" s="52"/>
      <c r="EB57" s="52"/>
      <c r="EC57" s="52"/>
      <c r="ED57" s="52"/>
      <c r="EE57" s="52"/>
      <c r="EF57" s="52"/>
      <c r="EG57" s="52"/>
      <c r="EH57" s="52"/>
      <c r="EI57" s="52"/>
      <c r="EJ57" s="52"/>
      <c r="EK57" s="5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34"/>
      <c r="FK57" s="22"/>
      <c r="FL57" s="22"/>
      <c r="FM57" s="22"/>
      <c r="FN57" s="52"/>
      <c r="FO57" s="52"/>
      <c r="FP57" s="52"/>
      <c r="FQ57" s="52"/>
      <c r="FR57" s="52"/>
      <c r="FS57" s="52"/>
      <c r="FT57" s="52"/>
      <c r="FU57" s="52"/>
      <c r="FV57" s="52"/>
      <c r="FW57" s="52"/>
      <c r="FX57" s="52"/>
      <c r="FY57" s="52"/>
      <c r="FZ57" s="52"/>
      <c r="GA57" s="52"/>
      <c r="GB57" s="52"/>
      <c r="GC57" s="52"/>
      <c r="GD57" s="52"/>
      <c r="GE57" s="52"/>
      <c r="GF57" s="52"/>
      <c r="GG57" s="52"/>
      <c r="GH57" s="52"/>
      <c r="GI57" s="52"/>
      <c r="GJ57" s="52"/>
    </row>
    <row r="58" spans="1:193" s="51" customFormat="1" ht="13.8"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33"/>
      <c r="CB58" s="639" t="s">
        <v>13</v>
      </c>
      <c r="CC58" s="53"/>
      <c r="CD58" s="53" t="s">
        <v>22</v>
      </c>
      <c r="CE58" s="53"/>
      <c r="CF58" s="53"/>
      <c r="CG58" s="53"/>
      <c r="CH58" s="53"/>
      <c r="CI58" s="53" t="s">
        <v>75</v>
      </c>
      <c r="CJ58" s="53"/>
      <c r="CK58" s="53"/>
      <c r="CL58" s="53"/>
      <c r="CM58" s="53" t="s">
        <v>77</v>
      </c>
      <c r="CN58" s="53"/>
      <c r="CO58" s="53"/>
      <c r="CP58" s="53"/>
      <c r="CQ58" s="53"/>
      <c r="CR58" s="53"/>
      <c r="CS58" s="53" t="s">
        <v>23</v>
      </c>
      <c r="CT58" s="53"/>
      <c r="CU58" s="53"/>
      <c r="CV58" s="53"/>
      <c r="CW58" s="53"/>
      <c r="CX58" s="53" t="s">
        <v>155</v>
      </c>
      <c r="CY58" s="53"/>
      <c r="CZ58" s="53"/>
      <c r="DA58" s="53"/>
      <c r="DB58" s="77"/>
      <c r="DD58" s="133"/>
      <c r="DE58" s="21"/>
      <c r="DF58" s="52"/>
      <c r="DG58" s="52"/>
      <c r="DH58" s="52"/>
      <c r="DI58" s="52"/>
      <c r="DJ58" s="52"/>
      <c r="DK58" s="52"/>
      <c r="DL58" s="52"/>
      <c r="DM58" s="52"/>
      <c r="DN58" s="52"/>
      <c r="DO58" s="52"/>
      <c r="DP58" s="52"/>
      <c r="DQ58" s="52"/>
      <c r="DR58" s="52"/>
      <c r="DS58" s="52"/>
      <c r="DT58" s="52"/>
      <c r="DU58" s="52"/>
      <c r="DV58" s="52"/>
      <c r="DW58" s="52"/>
      <c r="DX58" s="52"/>
      <c r="DY58" s="52"/>
      <c r="DZ58" s="52"/>
      <c r="EA58" s="52"/>
      <c r="EB58" s="52"/>
      <c r="EC58" s="22"/>
      <c r="ED58" s="22"/>
      <c r="EE58" s="22"/>
      <c r="EF58" s="22"/>
      <c r="EG58" s="22"/>
      <c r="EH58" s="22"/>
      <c r="EI58" s="22"/>
      <c r="EJ58" s="22"/>
      <c r="EK58" s="22"/>
      <c r="EL58" s="52"/>
      <c r="EM58" s="52"/>
      <c r="EN58" s="52"/>
      <c r="EO58" s="52"/>
      <c r="EP58" s="52"/>
      <c r="EQ58" s="52"/>
      <c r="ER58" s="52"/>
      <c r="ES58" s="52"/>
      <c r="ET58" s="52"/>
      <c r="EU58" s="52"/>
      <c r="EV58" s="52"/>
      <c r="EW58" s="52"/>
      <c r="EX58" s="52"/>
      <c r="EY58" s="52"/>
      <c r="EZ58" s="52"/>
      <c r="FA58" s="52"/>
      <c r="FB58" s="52"/>
      <c r="FC58" s="52"/>
      <c r="FD58" s="52"/>
      <c r="FE58" s="52"/>
      <c r="FF58" s="52"/>
      <c r="FG58" s="52"/>
      <c r="FH58" s="52"/>
      <c r="FI58" s="22"/>
      <c r="FJ58" s="22"/>
      <c r="FK58" s="22"/>
      <c r="FL58" s="22"/>
      <c r="FM58" s="22"/>
      <c r="FN58" s="52"/>
      <c r="FO58" s="52"/>
      <c r="FP58" s="52"/>
      <c r="FQ58" s="52"/>
      <c r="FR58" s="52"/>
      <c r="FS58" s="52"/>
      <c r="FT58" s="52"/>
      <c r="FU58" s="52"/>
      <c r="FV58" s="52"/>
      <c r="FW58" s="52"/>
      <c r="FX58" s="52"/>
      <c r="FY58" s="52"/>
      <c r="FZ58" s="52"/>
      <c r="GA58" s="52"/>
      <c r="GB58" s="52"/>
      <c r="GC58" s="52"/>
      <c r="GD58" s="52"/>
      <c r="GE58" s="52"/>
      <c r="GF58" s="52"/>
      <c r="GG58" s="52"/>
      <c r="GH58" s="52"/>
      <c r="GI58" s="52"/>
      <c r="GJ58" s="52"/>
    </row>
    <row r="59" spans="1:193" s="51" customFormat="1" ht="13.8"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33"/>
      <c r="CB59" s="640"/>
      <c r="CC59" s="21"/>
      <c r="CD59" s="592">
        <f>IF($GE67=$GE66,DY67,EG67)</f>
        <v>0</v>
      </c>
      <c r="CE59" s="609"/>
      <c r="CF59" s="609"/>
      <c r="CG59" s="610"/>
      <c r="CH59" s="163" t="s">
        <v>76</v>
      </c>
      <c r="CI59" s="592">
        <f>IF(FP62=0,0,IF(OR(CY22="",CY22=0),FP62,IF(CY22="７割軽減",FP62+(CE22*料率!B22),IF(CY22="５割軽減",FP62+(CE22*料率!F22),IF(CY22="２割軽減",FP62+(CE22*料率!J22))))))</f>
        <v>0</v>
      </c>
      <c r="CJ59" s="609"/>
      <c r="CK59" s="609"/>
      <c r="CL59" s="610"/>
      <c r="CM59" s="163" t="s">
        <v>76</v>
      </c>
      <c r="CN59" s="595">
        <f>IF(FU62=0,0,IF(CY22="７割軽減",FU62+料率!D22,IF(CY22="５割軽減",FU62+料率!H22,IF(CY22="２割軽減",FU62+料率!L22,FU62))))</f>
        <v>0</v>
      </c>
      <c r="CO59" s="596"/>
      <c r="CP59" s="596"/>
      <c r="CQ59" s="597"/>
      <c r="CR59" s="163" t="s">
        <v>67</v>
      </c>
      <c r="CS59" s="592">
        <f>CD59+CI59+CN59</f>
        <v>0</v>
      </c>
      <c r="CT59" s="609"/>
      <c r="CU59" s="609"/>
      <c r="CV59" s="610"/>
      <c r="CW59" s="163" t="s">
        <v>78</v>
      </c>
      <c r="CX59" s="595">
        <f>IF(CS59&gt;料率!E42,料率!E42,ROUNDDOWN(CS59,-2))</f>
        <v>0</v>
      </c>
      <c r="CY59" s="596"/>
      <c r="CZ59" s="596"/>
      <c r="DA59" s="597"/>
      <c r="DB59" s="79"/>
      <c r="DD59" s="133"/>
      <c r="DE59" s="21"/>
      <c r="DF59" s="98" t="s">
        <v>127</v>
      </c>
      <c r="DG59" s="22"/>
      <c r="DH59" s="22"/>
      <c r="DI59" s="22"/>
      <c r="DJ59" s="22"/>
      <c r="DK59" s="22"/>
      <c r="DL59" s="601" t="s">
        <v>17</v>
      </c>
      <c r="DM59" s="602"/>
      <c r="DN59" s="602"/>
      <c r="DO59" s="603"/>
      <c r="DP59" s="576">
        <f>EQ$9</f>
        <v>0</v>
      </c>
      <c r="DQ59" s="576"/>
      <c r="DR59" s="576"/>
      <c r="DS59" s="577"/>
      <c r="DT59" s="22"/>
      <c r="DU59" s="5"/>
      <c r="DV59" s="5"/>
      <c r="DW59" s="5"/>
      <c r="DX59" s="5"/>
      <c r="DY59" s="5"/>
      <c r="DZ59" s="5"/>
      <c r="EA59" s="52"/>
      <c r="EB59" s="52"/>
      <c r="EC59" s="22"/>
      <c r="ED59" s="22"/>
      <c r="EE59" s="22"/>
      <c r="EF59" s="22"/>
      <c r="EG59" s="22"/>
      <c r="EH59" s="22"/>
      <c r="EI59" s="22"/>
      <c r="EJ59" s="22"/>
      <c r="EK59" s="22"/>
      <c r="EL59" s="52"/>
      <c r="EM59" s="52"/>
      <c r="EN59" s="52"/>
      <c r="EO59" s="52"/>
      <c r="EP59" s="52"/>
      <c r="EQ59" s="52"/>
      <c r="ER59" s="52"/>
      <c r="ES59" s="52"/>
      <c r="ET59" s="52"/>
      <c r="EU59" s="52"/>
      <c r="EV59" s="52"/>
      <c r="EW59" s="52"/>
      <c r="EX59" s="52"/>
      <c r="EY59" s="36" t="s">
        <v>237</v>
      </c>
      <c r="EZ59" s="52"/>
      <c r="FA59" s="52"/>
      <c r="FB59" s="52"/>
      <c r="FC59" s="52"/>
      <c r="FD59" s="52"/>
      <c r="FE59" s="52"/>
      <c r="FF59" s="52"/>
      <c r="FG59" s="52"/>
      <c r="FH59" s="52"/>
      <c r="FI59" s="52"/>
      <c r="FJ59" s="52"/>
      <c r="FK59" s="52"/>
      <c r="FL59" s="52"/>
      <c r="FM59" s="52"/>
      <c r="FN59" s="52"/>
      <c r="FO59" s="52"/>
      <c r="FP59" s="52"/>
      <c r="FQ59" s="52"/>
      <c r="FR59" s="52"/>
      <c r="FS59" s="52"/>
      <c r="FT59" s="52"/>
      <c r="FU59" s="52"/>
      <c r="FV59" s="52"/>
      <c r="FW59" s="52"/>
      <c r="FX59" s="52"/>
      <c r="FY59" s="52"/>
      <c r="FZ59" s="52"/>
      <c r="GA59" s="52"/>
      <c r="GB59" s="52"/>
      <c r="GC59" s="52"/>
      <c r="GD59" s="52"/>
      <c r="GE59" s="52"/>
      <c r="GF59" s="52"/>
      <c r="GG59" s="52"/>
      <c r="GH59" s="52"/>
      <c r="GI59" s="52"/>
      <c r="GJ59" s="52"/>
    </row>
    <row r="60" spans="1:193" s="51" customFormat="1" ht="13.8"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33"/>
      <c r="CB60" s="640"/>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80"/>
      <c r="DD60" s="133"/>
      <c r="DE60" s="21"/>
      <c r="DF60" s="52" t="s">
        <v>166</v>
      </c>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52"/>
      <c r="EM60" s="52" t="s">
        <v>167</v>
      </c>
      <c r="EN60" s="52"/>
      <c r="EO60" s="52"/>
      <c r="EP60" s="22"/>
      <c r="EQ60" s="36" t="s">
        <v>180</v>
      </c>
      <c r="ER60" s="52"/>
      <c r="ES60" s="52"/>
      <c r="ET60" s="52"/>
      <c r="EU60" s="52" t="s">
        <v>181</v>
      </c>
      <c r="EV60" s="52"/>
      <c r="EW60" s="52"/>
      <c r="EX60" s="52"/>
      <c r="EY60" s="52" t="s">
        <v>182</v>
      </c>
      <c r="EZ60" s="52"/>
      <c r="FA60" s="52"/>
      <c r="FB60" s="52"/>
      <c r="FC60" s="52" t="s">
        <v>239</v>
      </c>
      <c r="FD60" s="52"/>
      <c r="FE60" s="52"/>
      <c r="FF60" s="52"/>
      <c r="FG60" s="52" t="s">
        <v>168</v>
      </c>
      <c r="FH60" s="52"/>
      <c r="FI60" s="22"/>
      <c r="FJ60" s="22"/>
      <c r="FK60" s="22" t="s">
        <v>178</v>
      </c>
      <c r="FL60" s="22"/>
      <c r="FM60" s="22"/>
      <c r="FN60" s="52"/>
      <c r="FO60" s="52"/>
      <c r="FP60" s="52"/>
      <c r="FQ60" s="52"/>
      <c r="FR60" s="52"/>
      <c r="FS60" s="22"/>
      <c r="FT60" s="22"/>
      <c r="FU60" s="22"/>
      <c r="FV60" s="22"/>
      <c r="FW60" s="22"/>
      <c r="FX60" s="22"/>
      <c r="FY60" s="22"/>
      <c r="FZ60" s="22"/>
      <c r="GA60" s="22"/>
      <c r="GB60" s="22"/>
      <c r="GC60" s="22"/>
      <c r="GD60" s="22"/>
      <c r="GE60" s="22"/>
      <c r="GF60" s="22"/>
      <c r="GG60" s="22"/>
      <c r="GH60" s="164"/>
      <c r="GI60" s="52"/>
      <c r="GJ60" s="52"/>
    </row>
    <row r="61" spans="1:193" s="51" customFormat="1" ht="13.8"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33"/>
      <c r="CB61" s="640"/>
      <c r="CC61" s="81"/>
      <c r="CD61" s="82" t="s">
        <v>171</v>
      </c>
      <c r="CE61" s="82"/>
      <c r="CF61" s="82"/>
      <c r="CG61" s="82" t="s">
        <v>249</v>
      </c>
      <c r="CH61" s="82"/>
      <c r="CI61" s="82"/>
      <c r="CJ61" s="82"/>
      <c r="CK61" s="82"/>
      <c r="CL61" s="82"/>
      <c r="CM61" s="82"/>
      <c r="CN61" s="82"/>
      <c r="CO61" s="82"/>
      <c r="CP61" s="82"/>
      <c r="CQ61" s="82"/>
      <c r="CR61" s="82"/>
      <c r="CS61" s="82"/>
      <c r="CT61" s="82"/>
      <c r="CU61" s="82"/>
      <c r="CV61" s="82"/>
      <c r="CW61" s="82"/>
      <c r="CX61" s="82"/>
      <c r="CY61" s="82"/>
      <c r="CZ61" s="83"/>
      <c r="DA61" s="83"/>
      <c r="DB61" s="84"/>
      <c r="DC61" s="21"/>
      <c r="DD61" s="134"/>
      <c r="DE61" s="21"/>
      <c r="DF61" s="22">
        <f>IF(DV61&gt;0,1,0)</f>
        <v>0</v>
      </c>
      <c r="DG61" s="573" t="str">
        <f>IF(AU11=DF3,DF3,"擬制世帯主")</f>
        <v>世帯主</v>
      </c>
      <c r="DH61" s="573"/>
      <c r="DI61" s="573"/>
      <c r="DJ61" s="54" t="s">
        <v>154</v>
      </c>
      <c r="DK61" s="575">
        <f t="shared" ref="DK61:DK66" si="18">IF(EC3=1,EQ3,0)</f>
        <v>0</v>
      </c>
      <c r="DL61" s="576"/>
      <c r="DM61" s="576"/>
      <c r="DN61" s="577"/>
      <c r="DO61" s="22" t="s">
        <v>64</v>
      </c>
      <c r="DP61" s="160" t="s">
        <v>65</v>
      </c>
      <c r="DQ61" s="605">
        <f>料率!E38</f>
        <v>430000</v>
      </c>
      <c r="DR61" s="605"/>
      <c r="DS61" s="605"/>
      <c r="DT61" s="22" t="s">
        <v>64</v>
      </c>
      <c r="DU61" s="22" t="s">
        <v>165</v>
      </c>
      <c r="DV61" s="567">
        <f>IF(DK61-DQ61&lt;0,0,DK61-DQ61)</f>
        <v>0</v>
      </c>
      <c r="DW61" s="567"/>
      <c r="DX61" s="567"/>
      <c r="DY61" s="567"/>
      <c r="DZ61" s="22" t="s">
        <v>153</v>
      </c>
      <c r="EA61" s="574">
        <f>料率!L8</f>
        <v>2.8</v>
      </c>
      <c r="EB61" s="574"/>
      <c r="EC61" s="160" t="s">
        <v>66</v>
      </c>
      <c r="ED61" s="564">
        <v>100</v>
      </c>
      <c r="EE61" s="564"/>
      <c r="EF61" s="160" t="s">
        <v>67</v>
      </c>
      <c r="EG61" s="578">
        <f t="shared" ref="EG61:EG65" si="19">IF(DK61-DQ61&lt;0,0,ROUNDDOWN((DK61-DQ61)*EA61/ED61,0))</f>
        <v>0</v>
      </c>
      <c r="EH61" s="578"/>
      <c r="EI61" s="578"/>
      <c r="EJ61" s="164"/>
      <c r="EK61" s="22"/>
      <c r="EL61" s="62" t="s">
        <v>71</v>
      </c>
      <c r="EM61" s="575">
        <f>IF(EC3=1,料率!P8,0)</f>
        <v>0</v>
      </c>
      <c r="EN61" s="576"/>
      <c r="EO61" s="577"/>
      <c r="EP61" s="62"/>
      <c r="EQ61" s="612">
        <f>IF(AU12="４０～６４歳",IF(EB3=1,IF(EF3=1,IF($CY$22="２割軽減",料率!$P$13-EU61,IF($CY$22="７割軽減",料率!$P$8,IF($CY$22="５割軽減",料率!$P$8,料率!$P$13))),料率!P8),0),0)</f>
        <v>0</v>
      </c>
      <c r="ER61" s="613"/>
      <c r="ES61" s="614"/>
      <c r="ET61" s="56"/>
      <c r="EU61" s="582">
        <f>IF(AU12="４０～６４歳",IF(AU11=DF3,IF($CY$22="７割軽減",料率!$B$22,IF($CY$22="５割軽減",料率!$F$22,IF($CY$22="２割軽減",料率!$J$22,0))),0),0)</f>
        <v>0</v>
      </c>
      <c r="EV61" s="571"/>
      <c r="EW61" s="572"/>
      <c r="EX61" s="52"/>
      <c r="EY61" s="582">
        <v>0</v>
      </c>
      <c r="EZ61" s="571"/>
      <c r="FA61" s="572"/>
      <c r="FB61" s="52"/>
      <c r="FC61" s="570">
        <f t="shared" ref="FC61:FC66" si="20">IF(EL61=BK$24,IF(BP$24&gt;0,ROUNDUP((EG61+(EQ61+EU61))*BP$24/12,0),0),0)</f>
        <v>0</v>
      </c>
      <c r="FD61" s="571"/>
      <c r="FE61" s="572"/>
      <c r="FF61" s="52"/>
      <c r="FG61" s="615">
        <f>料率!S8</f>
        <v>5800</v>
      </c>
      <c r="FH61" s="616"/>
      <c r="FI61" s="617"/>
      <c r="FJ61" s="52"/>
      <c r="FK61" s="22" t="s">
        <v>22</v>
      </c>
      <c r="FL61" s="22"/>
      <c r="FM61" s="22"/>
      <c r="FN61" s="22"/>
      <c r="FO61" s="22"/>
      <c r="FP61" s="22" t="s">
        <v>75</v>
      </c>
      <c r="FQ61" s="22"/>
      <c r="FR61" s="22"/>
      <c r="FS61" s="22"/>
      <c r="FT61" s="22" t="s">
        <v>77</v>
      </c>
      <c r="FU61" s="22"/>
      <c r="FV61" s="22"/>
      <c r="FW61" s="22"/>
      <c r="FX61" s="22"/>
      <c r="FY61" s="22"/>
      <c r="FZ61" s="22" t="s">
        <v>23</v>
      </c>
      <c r="GA61" s="22"/>
      <c r="GB61" s="22"/>
      <c r="GC61" s="22"/>
      <c r="GD61" s="22"/>
      <c r="GE61" s="22" t="s">
        <v>82</v>
      </c>
      <c r="GF61" s="22"/>
      <c r="GG61" s="22"/>
      <c r="GH61" s="22"/>
      <c r="GI61" s="52"/>
      <c r="GJ61" s="52"/>
    </row>
    <row r="62" spans="1:193" s="51" customFormat="1" ht="13.8"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33"/>
      <c r="CB62" s="640"/>
      <c r="CC62" s="78"/>
      <c r="CD62" s="153" t="s">
        <v>154</v>
      </c>
      <c r="CE62" s="559">
        <f>(IF(EG61&gt;0,DK61,0)+IF(EG62&gt;0,DK62,0)+IF(EG63&gt;0,DK63,0)+IF(EG64&gt;0,DK64,0)+IF(EG65&gt;0,DK65,0)+IF(EG66&gt;0,DK66,0))</f>
        <v>0</v>
      </c>
      <c r="CF62" s="559"/>
      <c r="CG62" s="559"/>
      <c r="CH62" s="102" t="s">
        <v>64</v>
      </c>
      <c r="CI62" s="189" t="s">
        <v>65</v>
      </c>
      <c r="CJ62" s="560">
        <f>IF(EG61&gt;0,IF(DK61&gt;=DQ61,DQ61,DK61),0)+IF(EG62&gt;0,IF(DK62&gt;=DQ62,DQ62,DK62),0)+IF(EG63&gt;0,IF(DK63&gt;=DQ63,DQ63,DK63),0)+IF(EG64&gt;0,IF(DK64&gt;=DQ64,DQ64,DK64),0)+IF(EG65&gt;0,IF(DK65&gt;=DQ65,DQ65,DK65),0)+IF(EG66&gt;0,IF(DK66&gt;=DQ66,DQ66,DK66),0)</f>
        <v>0</v>
      </c>
      <c r="CK62" s="560"/>
      <c r="CL62" s="560"/>
      <c r="CM62" s="21" t="s">
        <v>64</v>
      </c>
      <c r="CN62" s="21" t="s">
        <v>153</v>
      </c>
      <c r="CO62" s="561">
        <f>EA61</f>
        <v>2.8</v>
      </c>
      <c r="CP62" s="561"/>
      <c r="CQ62" s="189" t="s">
        <v>66</v>
      </c>
      <c r="CR62" s="562">
        <v>100</v>
      </c>
      <c r="CS62" s="562"/>
      <c r="CT62" s="189" t="str">
        <f>IF($GE67=$GE66,"＝","≒")</f>
        <v>＝</v>
      </c>
      <c r="CU62" s="563">
        <f>IF($GE67=$GE66,DY67,EG67)</f>
        <v>0</v>
      </c>
      <c r="CV62" s="563"/>
      <c r="CW62" s="563"/>
      <c r="CX62" s="21"/>
      <c r="CY62" s="21"/>
      <c r="CZ62" s="21"/>
      <c r="DA62" s="21"/>
      <c r="DB62" s="80"/>
      <c r="DC62" s="21"/>
      <c r="DD62" s="133"/>
      <c r="DE62" s="21"/>
      <c r="DF62" s="22">
        <f t="shared" ref="DF62:DF66" si="21">IF(DV62&gt;0,1,0)</f>
        <v>0</v>
      </c>
      <c r="DG62" s="564" t="s">
        <v>251</v>
      </c>
      <c r="DH62" s="564"/>
      <c r="DI62" s="564"/>
      <c r="DJ62" s="54" t="s">
        <v>154</v>
      </c>
      <c r="DK62" s="575">
        <f t="shared" si="18"/>
        <v>0</v>
      </c>
      <c r="DL62" s="576"/>
      <c r="DM62" s="576"/>
      <c r="DN62" s="577"/>
      <c r="DO62" s="22" t="s">
        <v>64</v>
      </c>
      <c r="DP62" s="160" t="s">
        <v>65</v>
      </c>
      <c r="DQ62" s="566">
        <f>料率!E38</f>
        <v>430000</v>
      </c>
      <c r="DR62" s="566"/>
      <c r="DS62" s="566"/>
      <c r="DT62" s="22" t="s">
        <v>64</v>
      </c>
      <c r="DU62" s="22" t="s">
        <v>165</v>
      </c>
      <c r="DV62" s="567">
        <f t="shared" ref="DV62:DV66" si="22">IF(DK62-DQ62&lt;0,0,DK62-DQ62)</f>
        <v>0</v>
      </c>
      <c r="DW62" s="567"/>
      <c r="DX62" s="567"/>
      <c r="DY62" s="567"/>
      <c r="DZ62" s="22" t="s">
        <v>153</v>
      </c>
      <c r="EA62" s="574">
        <f>料率!L8</f>
        <v>2.8</v>
      </c>
      <c r="EB62" s="574"/>
      <c r="EC62" s="160" t="s">
        <v>66</v>
      </c>
      <c r="ED62" s="564">
        <v>100</v>
      </c>
      <c r="EE62" s="564"/>
      <c r="EF62" s="160" t="s">
        <v>67</v>
      </c>
      <c r="EG62" s="578">
        <f t="shared" si="19"/>
        <v>0</v>
      </c>
      <c r="EH62" s="578"/>
      <c r="EI62" s="578"/>
      <c r="EJ62" s="164"/>
      <c r="EK62" s="22"/>
      <c r="EL62" s="55" t="s">
        <v>254</v>
      </c>
      <c r="EM62" s="575">
        <f>IF(EC4=1,料率!P8,0)</f>
        <v>0</v>
      </c>
      <c r="EN62" s="576"/>
      <c r="EO62" s="577"/>
      <c r="EP62" s="62"/>
      <c r="EQ62" s="612">
        <f>IF(BA12="４０～６４歳",IF(EB4=1,IF(EF4=1,IF($CY$22="２割軽減",料率!$P$13-EU62,IF($CY$22="７割軽減",料率!$P$8,IF($CY$22="５割軽減",料率!$P$8,料率!$P$13))),料率!$P$8),0),0)</f>
        <v>0</v>
      </c>
      <c r="ER62" s="613"/>
      <c r="ES62" s="614"/>
      <c r="ET62" s="56"/>
      <c r="EU62" s="582">
        <f>IF(BA12="４０～６４歳",IF(BA11=DM3,IF($CY$22="７割軽減",料率!$B$22,IF($CY$22="５割軽減",料率!$F$22,IF($CY$22="２割軽減",料率!$J$22,0))),0),0)</f>
        <v>0</v>
      </c>
      <c r="EV62" s="571"/>
      <c r="EW62" s="572"/>
      <c r="EX62" s="52"/>
      <c r="EY62" s="582">
        <v>0</v>
      </c>
      <c r="EZ62" s="571"/>
      <c r="FA62" s="572"/>
      <c r="FB62" s="52"/>
      <c r="FC62" s="570">
        <f t="shared" si="20"/>
        <v>0</v>
      </c>
      <c r="FD62" s="571"/>
      <c r="FE62" s="572"/>
      <c r="FF62" s="52"/>
      <c r="FG62" s="52" t="s">
        <v>102</v>
      </c>
      <c r="FH62" s="52"/>
      <c r="FI62" s="52"/>
      <c r="FJ62" s="52"/>
      <c r="FK62" s="579">
        <f>EG67</f>
        <v>0</v>
      </c>
      <c r="FL62" s="618"/>
      <c r="FM62" s="618"/>
      <c r="FN62" s="619"/>
      <c r="FO62" s="160" t="s">
        <v>76</v>
      </c>
      <c r="FP62" s="579">
        <f>EM67</f>
        <v>0</v>
      </c>
      <c r="FQ62" s="618"/>
      <c r="FR62" s="618"/>
      <c r="FS62" s="619"/>
      <c r="FT62" s="160" t="s">
        <v>76</v>
      </c>
      <c r="FU62" s="575">
        <f>FG65</f>
        <v>0</v>
      </c>
      <c r="FV62" s="576"/>
      <c r="FW62" s="576"/>
      <c r="FX62" s="577"/>
      <c r="FY62" s="160" t="s">
        <v>67</v>
      </c>
      <c r="FZ62" s="579">
        <f>FK62+FP62+FU62</f>
        <v>0</v>
      </c>
      <c r="GA62" s="618"/>
      <c r="GB62" s="618"/>
      <c r="GC62" s="619"/>
      <c r="GD62" s="160" t="s">
        <v>78</v>
      </c>
      <c r="GE62" s="575">
        <f>IF(FZ62&gt;料率!E42,料率!E42,ROUNDDOWN(FZ62,-2))</f>
        <v>0</v>
      </c>
      <c r="GF62" s="576"/>
      <c r="GG62" s="576"/>
      <c r="GH62" s="577"/>
      <c r="GI62" s="52"/>
      <c r="GJ62" s="52"/>
    </row>
    <row r="63" spans="1:193" s="51" customFormat="1" ht="13.8"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33"/>
      <c r="CB63" s="640"/>
      <c r="CC63" s="85"/>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94"/>
      <c r="DC63" s="21"/>
      <c r="DD63" s="21" t="s">
        <v>169</v>
      </c>
      <c r="DE63" s="21"/>
      <c r="DF63" s="22">
        <f>IF(DV63&gt;0,1,0)</f>
        <v>0</v>
      </c>
      <c r="DG63" s="564" t="s">
        <v>63</v>
      </c>
      <c r="DH63" s="564"/>
      <c r="DI63" s="564"/>
      <c r="DJ63" s="54" t="s">
        <v>154</v>
      </c>
      <c r="DK63" s="575">
        <f t="shared" si="18"/>
        <v>0</v>
      </c>
      <c r="DL63" s="576"/>
      <c r="DM63" s="576"/>
      <c r="DN63" s="577"/>
      <c r="DO63" s="22" t="s">
        <v>64</v>
      </c>
      <c r="DP63" s="160" t="s">
        <v>65</v>
      </c>
      <c r="DQ63" s="566">
        <f>料率!E38</f>
        <v>430000</v>
      </c>
      <c r="DR63" s="566"/>
      <c r="DS63" s="566"/>
      <c r="DT63" s="22" t="s">
        <v>64</v>
      </c>
      <c r="DU63" s="22" t="s">
        <v>165</v>
      </c>
      <c r="DV63" s="567">
        <f t="shared" si="22"/>
        <v>0</v>
      </c>
      <c r="DW63" s="567"/>
      <c r="DX63" s="567"/>
      <c r="DY63" s="567"/>
      <c r="DZ63" s="22" t="s">
        <v>153</v>
      </c>
      <c r="EA63" s="574">
        <f>料率!L8</f>
        <v>2.8</v>
      </c>
      <c r="EB63" s="574"/>
      <c r="EC63" s="160" t="s">
        <v>66</v>
      </c>
      <c r="ED63" s="564">
        <v>100</v>
      </c>
      <c r="EE63" s="564"/>
      <c r="EF63" s="160" t="s">
        <v>67</v>
      </c>
      <c r="EG63" s="578">
        <f t="shared" si="19"/>
        <v>0</v>
      </c>
      <c r="EH63" s="578"/>
      <c r="EI63" s="578"/>
      <c r="EJ63" s="164"/>
      <c r="EK63" s="22"/>
      <c r="EL63" s="55" t="s">
        <v>136</v>
      </c>
      <c r="EM63" s="575">
        <f>IF(EC5=1,料率!P8,0)</f>
        <v>0</v>
      </c>
      <c r="EN63" s="576"/>
      <c r="EO63" s="577"/>
      <c r="EP63" s="62"/>
      <c r="EQ63" s="612">
        <f>IF(BF12="４０～６４歳",IF(EB5=1,IF(EF5=1,IF($CY$22="２割軽減",料率!$P$13-EU63,IF($CY$22="７割軽減",料率!$P$8,IF($CY$22="５割軽減",料率!$P$8,料率!$P$13))),料率!$P$8),0),0)</f>
        <v>0</v>
      </c>
      <c r="ER63" s="613"/>
      <c r="ES63" s="614"/>
      <c r="ET63" s="56"/>
      <c r="EU63" s="582">
        <f>IF(BF12="４０～６４歳",IF(BF11=DM3,IF($CY$22="７割軽減",料率!$B$22,IF($CY$22="５割軽減",料率!$F$22,IF($CY$22="２割軽減",料率!$J$22,0))),0),0)</f>
        <v>0</v>
      </c>
      <c r="EV63" s="571"/>
      <c r="EW63" s="572"/>
      <c r="EX63" s="52"/>
      <c r="EY63" s="582">
        <v>0</v>
      </c>
      <c r="EZ63" s="571"/>
      <c r="FA63" s="572"/>
      <c r="FB63" s="52"/>
      <c r="FC63" s="570">
        <f t="shared" si="20"/>
        <v>0</v>
      </c>
      <c r="FD63" s="571"/>
      <c r="FE63" s="572"/>
      <c r="FF63" s="52"/>
      <c r="FG63" s="582">
        <f>IF(AU11=DF3,IF(CY22="７割軽減",料率!D22,IF(CY22="５割軽減",料率!H22,IF(CY22="２割軽減",料率!L22,0))),0)</f>
        <v>-4060</v>
      </c>
      <c r="FH63" s="571"/>
      <c r="FI63" s="572"/>
      <c r="FJ63" s="52"/>
      <c r="FK63" s="52"/>
      <c r="FL63" s="22"/>
      <c r="FM63" s="22"/>
      <c r="FN63" s="52"/>
      <c r="FO63" s="52"/>
      <c r="FP63" s="52"/>
      <c r="FQ63" s="52"/>
      <c r="FR63" s="52"/>
      <c r="FS63" s="52"/>
      <c r="FT63" s="52"/>
      <c r="FU63" s="52"/>
      <c r="FV63" s="52"/>
      <c r="FW63" s="52"/>
      <c r="FX63" s="52"/>
      <c r="FY63" s="52"/>
      <c r="FZ63" s="52"/>
      <c r="GA63" s="52"/>
      <c r="GB63" s="52"/>
      <c r="GC63" s="52"/>
      <c r="GD63" s="52"/>
      <c r="GE63" s="52"/>
      <c r="GF63" s="52"/>
      <c r="GG63" s="52"/>
      <c r="GH63" s="52"/>
      <c r="GI63" s="52"/>
      <c r="GJ63" s="52"/>
    </row>
    <row r="64" spans="1:193" s="51" customFormat="1" ht="13.8"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33"/>
      <c r="CB64" s="640"/>
      <c r="CC64" s="81"/>
      <c r="CD64" s="82" t="s">
        <v>172</v>
      </c>
      <c r="CE64" s="82"/>
      <c r="CF64" s="82"/>
      <c r="CG64" s="82" t="s">
        <v>163</v>
      </c>
      <c r="CH64" s="82"/>
      <c r="CI64" s="82"/>
      <c r="CJ64" s="82"/>
      <c r="CK64" s="82"/>
      <c r="CL64" s="82"/>
      <c r="CM64" s="82"/>
      <c r="CN64" s="82"/>
      <c r="CO64" s="82"/>
      <c r="CP64" s="82"/>
      <c r="CQ64" s="82"/>
      <c r="CR64" s="82"/>
      <c r="CS64" s="82"/>
      <c r="CT64" s="82"/>
      <c r="CU64" s="82"/>
      <c r="CV64" s="82"/>
      <c r="CW64" s="82"/>
      <c r="CX64" s="82"/>
      <c r="CY64" s="82"/>
      <c r="CZ64" s="82"/>
      <c r="DA64" s="82"/>
      <c r="DB64" s="89"/>
      <c r="DC64" s="21"/>
      <c r="DD64" s="95" t="s">
        <v>174</v>
      </c>
      <c r="DE64" s="21"/>
      <c r="DF64" s="22">
        <f t="shared" si="21"/>
        <v>0</v>
      </c>
      <c r="DG64" s="564" t="s">
        <v>68</v>
      </c>
      <c r="DH64" s="564"/>
      <c r="DI64" s="564"/>
      <c r="DJ64" s="54" t="s">
        <v>154</v>
      </c>
      <c r="DK64" s="575">
        <f t="shared" si="18"/>
        <v>0</v>
      </c>
      <c r="DL64" s="576"/>
      <c r="DM64" s="576"/>
      <c r="DN64" s="577"/>
      <c r="DO64" s="22" t="s">
        <v>64</v>
      </c>
      <c r="DP64" s="160" t="s">
        <v>65</v>
      </c>
      <c r="DQ64" s="566">
        <f>料率!E38</f>
        <v>430000</v>
      </c>
      <c r="DR64" s="566"/>
      <c r="DS64" s="566"/>
      <c r="DT64" s="22" t="s">
        <v>64</v>
      </c>
      <c r="DU64" s="22" t="s">
        <v>165</v>
      </c>
      <c r="DV64" s="567">
        <f t="shared" si="22"/>
        <v>0</v>
      </c>
      <c r="DW64" s="567"/>
      <c r="DX64" s="567"/>
      <c r="DY64" s="567"/>
      <c r="DZ64" s="22" t="s">
        <v>153</v>
      </c>
      <c r="EA64" s="574">
        <f>料率!L8</f>
        <v>2.8</v>
      </c>
      <c r="EB64" s="574"/>
      <c r="EC64" s="160" t="s">
        <v>66</v>
      </c>
      <c r="ED64" s="564">
        <v>100</v>
      </c>
      <c r="EE64" s="564"/>
      <c r="EF64" s="160" t="s">
        <v>67</v>
      </c>
      <c r="EG64" s="578">
        <f t="shared" si="19"/>
        <v>0</v>
      </c>
      <c r="EH64" s="578"/>
      <c r="EI64" s="578"/>
      <c r="EJ64" s="164"/>
      <c r="EK64" s="22"/>
      <c r="EL64" s="55" t="s">
        <v>137</v>
      </c>
      <c r="EM64" s="575">
        <f>IF(EC6=1,料率!P8,0)</f>
        <v>0</v>
      </c>
      <c r="EN64" s="576"/>
      <c r="EO64" s="577"/>
      <c r="EP64" s="62"/>
      <c r="EQ64" s="612">
        <f>IF(BK12="４０～６４歳",IF(EB6=1,IF(EF6=1,IF($CY$22="２割軽減",料率!$P$13-EU64,IF($CY$22="７割軽減",料率!$P$8,IF($CY$22="５割軽減",料率!$P$8,料率!$P$13))),料率!$P$8),0),0)</f>
        <v>0</v>
      </c>
      <c r="ER64" s="613"/>
      <c r="ES64" s="614"/>
      <c r="ET64" s="56"/>
      <c r="EU64" s="582">
        <f>IF(BK12="４０～６４歳",IF(BK11=DM3,IF($CY$22="７割軽減",料率!$B$22,IF($CY$22="５割軽減",料率!$F$22,IF($CY$22="２割軽減",料率!$J$22,0))),0),0)</f>
        <v>0</v>
      </c>
      <c r="EV64" s="571"/>
      <c r="EW64" s="572"/>
      <c r="EX64" s="52"/>
      <c r="EY64" s="582">
        <v>0</v>
      </c>
      <c r="EZ64" s="571"/>
      <c r="FA64" s="572"/>
      <c r="FB64" s="52"/>
      <c r="FC64" s="570">
        <f t="shared" si="20"/>
        <v>0</v>
      </c>
      <c r="FD64" s="571"/>
      <c r="FE64" s="572"/>
      <c r="FF64" s="52"/>
      <c r="FG64" s="22" t="s">
        <v>149</v>
      </c>
      <c r="FH64" s="22"/>
      <c r="FI64" s="52"/>
      <c r="FJ64" s="22"/>
      <c r="FK64" s="98" t="s">
        <v>184</v>
      </c>
      <c r="FL64" s="22"/>
      <c r="FM64" s="4"/>
      <c r="FN64" s="10"/>
      <c r="FO64" s="58"/>
      <c r="FP64" s="58"/>
      <c r="FQ64" s="58"/>
      <c r="FR64" s="58"/>
      <c r="FS64" s="59"/>
      <c r="FT64" s="59"/>
      <c r="FU64" s="59"/>
      <c r="FV64" s="58"/>
      <c r="FW64" s="59"/>
      <c r="FX64" s="59"/>
      <c r="FY64" s="59"/>
      <c r="FZ64" s="58"/>
      <c r="GA64" s="59"/>
      <c r="GB64" s="59"/>
      <c r="GC64" s="59"/>
      <c r="GD64" s="56"/>
      <c r="GE64" s="60"/>
      <c r="GF64" s="60"/>
      <c r="GG64" s="60"/>
      <c r="GH64" s="52"/>
      <c r="GI64" s="52"/>
      <c r="GJ64" s="52"/>
    </row>
    <row r="65" spans="1:192" s="51" customFormat="1" ht="13.8"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c r="BT65" s="128"/>
      <c r="BU65" s="128"/>
      <c r="BV65" s="128"/>
      <c r="BW65" s="128"/>
      <c r="BX65" s="128"/>
      <c r="BY65" s="128"/>
      <c r="BZ65" s="133"/>
      <c r="CB65" s="640"/>
      <c r="CC65" s="85"/>
      <c r="CD65" s="90" t="s">
        <v>154</v>
      </c>
      <c r="CE65" s="101">
        <f>CE22</f>
        <v>0</v>
      </c>
      <c r="CF65" s="100" t="s">
        <v>151</v>
      </c>
      <c r="CG65" s="166" t="s">
        <v>150</v>
      </c>
      <c r="CH65" s="598">
        <f>料率!P8</f>
        <v>12100</v>
      </c>
      <c r="CI65" s="598"/>
      <c r="CJ65" s="598"/>
      <c r="CK65" s="90" t="s">
        <v>64</v>
      </c>
      <c r="CL65" s="90" t="s">
        <v>161</v>
      </c>
      <c r="CM65" s="599">
        <f>CE65*CH65-CI59</f>
        <v>0</v>
      </c>
      <c r="CN65" s="599"/>
      <c r="CO65" s="599"/>
      <c r="CP65" s="90" t="s">
        <v>64</v>
      </c>
      <c r="CQ65" s="90" t="s">
        <v>67</v>
      </c>
      <c r="CR65" s="598">
        <f>IF(FP62=0,0,IF(CY22="",FP62,IF(CY22="７割軽減",FP62+(CE22*料率!B22),IF(CY22="５割軽減",FP62+(CE22*料率!F22),IF(CY22="２割軽減",FP62+(CE22*料率!J22))))))</f>
        <v>0</v>
      </c>
      <c r="CS65" s="598"/>
      <c r="CT65" s="598"/>
      <c r="CU65" s="598"/>
      <c r="CV65" s="87"/>
      <c r="CW65" s="87"/>
      <c r="CX65" s="87"/>
      <c r="CY65" s="87"/>
      <c r="CZ65" s="87"/>
      <c r="DA65" s="87"/>
      <c r="DB65" s="88"/>
      <c r="DC65" s="21"/>
      <c r="DD65" s="134"/>
      <c r="DE65" s="21"/>
      <c r="DF65" s="22">
        <f t="shared" si="21"/>
        <v>0</v>
      </c>
      <c r="DG65" s="564" t="s">
        <v>69</v>
      </c>
      <c r="DH65" s="564"/>
      <c r="DI65" s="564"/>
      <c r="DJ65" s="54" t="s">
        <v>154</v>
      </c>
      <c r="DK65" s="575">
        <f t="shared" si="18"/>
        <v>0</v>
      </c>
      <c r="DL65" s="576"/>
      <c r="DM65" s="576"/>
      <c r="DN65" s="577"/>
      <c r="DO65" s="22" t="s">
        <v>64</v>
      </c>
      <c r="DP65" s="160" t="s">
        <v>65</v>
      </c>
      <c r="DQ65" s="566">
        <f>料率!E38</f>
        <v>430000</v>
      </c>
      <c r="DR65" s="566"/>
      <c r="DS65" s="566"/>
      <c r="DT65" s="22" t="s">
        <v>64</v>
      </c>
      <c r="DU65" s="22" t="s">
        <v>165</v>
      </c>
      <c r="DV65" s="567">
        <f t="shared" si="22"/>
        <v>0</v>
      </c>
      <c r="DW65" s="567"/>
      <c r="DX65" s="567"/>
      <c r="DY65" s="567"/>
      <c r="DZ65" s="22" t="s">
        <v>153</v>
      </c>
      <c r="EA65" s="574">
        <f>料率!L8</f>
        <v>2.8</v>
      </c>
      <c r="EB65" s="574"/>
      <c r="EC65" s="160" t="s">
        <v>66</v>
      </c>
      <c r="ED65" s="564">
        <v>100</v>
      </c>
      <c r="EE65" s="564"/>
      <c r="EF65" s="160" t="s">
        <v>67</v>
      </c>
      <c r="EG65" s="578">
        <f t="shared" si="19"/>
        <v>0</v>
      </c>
      <c r="EH65" s="578"/>
      <c r="EI65" s="578"/>
      <c r="EJ65" s="164"/>
      <c r="EK65" s="22"/>
      <c r="EL65" s="55" t="s">
        <v>138</v>
      </c>
      <c r="EM65" s="575">
        <f>IF(EC7=1,料率!P8,0)</f>
        <v>0</v>
      </c>
      <c r="EN65" s="576"/>
      <c r="EO65" s="577"/>
      <c r="EP65" s="62"/>
      <c r="EQ65" s="612">
        <f>IF(BP12="４０～６４歳",IF(EB7=1,IF(EF7=1,IF($CY$22="２割軽減",料率!$P$13-EU65,IF($CY$22="７割軽減",料率!$P$8,IF($CY$22="５割軽減",料率!$P$8,料率!$P$13))),料率!$P$8),0),0)</f>
        <v>0</v>
      </c>
      <c r="ER65" s="613"/>
      <c r="ES65" s="614"/>
      <c r="ET65" s="56"/>
      <c r="EU65" s="582">
        <f>IF(BP12="４０～６４歳",IF(BP11=DM3,IF($CY$22="７割軽減",料率!$B$22,IF($CY$22="５割軽減",料率!$F$22,IF($CY$22="２割軽減",料率!$J$22,0))),0),0)</f>
        <v>0</v>
      </c>
      <c r="EV65" s="571"/>
      <c r="EW65" s="572"/>
      <c r="EX65" s="52"/>
      <c r="EY65" s="582">
        <v>0</v>
      </c>
      <c r="EZ65" s="571"/>
      <c r="FA65" s="572"/>
      <c r="FB65" s="52"/>
      <c r="FC65" s="570">
        <f t="shared" si="20"/>
        <v>0</v>
      </c>
      <c r="FD65" s="571"/>
      <c r="FE65" s="572"/>
      <c r="FF65" s="52"/>
      <c r="FG65" s="575">
        <f>IF(CE22=0,0,料率!S8)</f>
        <v>0</v>
      </c>
      <c r="FH65" s="576"/>
      <c r="FI65" s="577"/>
      <c r="FJ65" s="52"/>
      <c r="FK65" s="22" t="s">
        <v>22</v>
      </c>
      <c r="FL65" s="22"/>
      <c r="FM65" s="22"/>
      <c r="FN65" s="22"/>
      <c r="FO65" s="22"/>
      <c r="FP65" s="22" t="s">
        <v>75</v>
      </c>
      <c r="FQ65" s="22"/>
      <c r="FR65" s="22"/>
      <c r="FS65" s="22"/>
      <c r="FT65" s="22" t="s">
        <v>77</v>
      </c>
      <c r="FU65" s="22"/>
      <c r="FV65" s="22"/>
      <c r="FW65" s="22"/>
      <c r="FX65" s="22"/>
      <c r="FY65" s="22"/>
      <c r="FZ65" s="22" t="s">
        <v>23</v>
      </c>
      <c r="GA65" s="22"/>
      <c r="GB65" s="22"/>
      <c r="GC65" s="22"/>
      <c r="GD65" s="22"/>
      <c r="GE65" s="22" t="s">
        <v>82</v>
      </c>
      <c r="GF65" s="22"/>
      <c r="GG65" s="22"/>
      <c r="GH65" s="52"/>
      <c r="GI65" s="52"/>
      <c r="GJ65" s="52"/>
    </row>
    <row r="66" spans="1:192" s="51" customFormat="1" ht="13.8"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28"/>
      <c r="AR66" s="128"/>
      <c r="AS66" s="128"/>
      <c r="AT66" s="128"/>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c r="BT66" s="128"/>
      <c r="BU66" s="128"/>
      <c r="BV66" s="128"/>
      <c r="BW66" s="128"/>
      <c r="BX66" s="128"/>
      <c r="BY66" s="128"/>
      <c r="BZ66" s="133"/>
      <c r="CB66" s="640"/>
      <c r="CC66" s="21"/>
      <c r="CD66" s="21" t="s">
        <v>173</v>
      </c>
      <c r="CE66" s="21"/>
      <c r="CF66" s="21"/>
      <c r="CG66" s="21" t="s">
        <v>164</v>
      </c>
      <c r="CH66" s="21"/>
      <c r="CI66" s="21"/>
      <c r="CJ66" s="21"/>
      <c r="CK66" s="21"/>
      <c r="CL66" s="21"/>
      <c r="CM66" s="21"/>
      <c r="CN66" s="21"/>
      <c r="CO66" s="21"/>
      <c r="CP66" s="21"/>
      <c r="CQ66" s="21"/>
      <c r="CR66" s="21"/>
      <c r="CS66" s="21"/>
      <c r="CT66" s="21"/>
      <c r="CU66" s="21"/>
      <c r="CV66" s="21"/>
      <c r="CW66" s="21"/>
      <c r="CX66" s="21"/>
      <c r="CY66" s="21"/>
      <c r="CZ66" s="21"/>
      <c r="DA66" s="21"/>
      <c r="DB66" s="79"/>
      <c r="DC66" s="21"/>
      <c r="DD66" s="134"/>
      <c r="DE66" s="21"/>
      <c r="DF66" s="22">
        <f t="shared" si="21"/>
        <v>0</v>
      </c>
      <c r="DG66" s="564" t="s">
        <v>70</v>
      </c>
      <c r="DH66" s="564"/>
      <c r="DI66" s="564"/>
      <c r="DJ66" s="54" t="s">
        <v>154</v>
      </c>
      <c r="DK66" s="575">
        <f t="shared" si="18"/>
        <v>0</v>
      </c>
      <c r="DL66" s="576"/>
      <c r="DM66" s="576"/>
      <c r="DN66" s="577"/>
      <c r="DO66" s="22" t="s">
        <v>64</v>
      </c>
      <c r="DP66" s="160" t="s">
        <v>65</v>
      </c>
      <c r="DQ66" s="566">
        <f>料率!E38</f>
        <v>430000</v>
      </c>
      <c r="DR66" s="566"/>
      <c r="DS66" s="566"/>
      <c r="DT66" s="22" t="s">
        <v>64</v>
      </c>
      <c r="DU66" s="22" t="s">
        <v>165</v>
      </c>
      <c r="DV66" s="567">
        <f t="shared" si="22"/>
        <v>0</v>
      </c>
      <c r="DW66" s="567"/>
      <c r="DX66" s="567"/>
      <c r="DY66" s="567"/>
      <c r="DZ66" s="22" t="s">
        <v>153</v>
      </c>
      <c r="EA66" s="574">
        <f>料率!L8</f>
        <v>2.8</v>
      </c>
      <c r="EB66" s="574"/>
      <c r="EC66" s="160" t="s">
        <v>66</v>
      </c>
      <c r="ED66" s="564">
        <v>100</v>
      </c>
      <c r="EE66" s="564"/>
      <c r="EF66" s="160" t="s">
        <v>67</v>
      </c>
      <c r="EG66" s="578">
        <f>IF(DK66-DQ66&lt;0,0,ROUNDDOWN((DK66-DQ66)*EA66/ED66,0))</f>
        <v>0</v>
      </c>
      <c r="EH66" s="578"/>
      <c r="EI66" s="578"/>
      <c r="EJ66" s="164"/>
      <c r="EK66" s="22"/>
      <c r="EL66" s="62" t="s">
        <v>139</v>
      </c>
      <c r="EM66" s="575">
        <f>IF(EC8=1,料率!P8,0)</f>
        <v>0</v>
      </c>
      <c r="EN66" s="576"/>
      <c r="EO66" s="577"/>
      <c r="EP66" s="62"/>
      <c r="EQ66" s="612">
        <f>IF(BU12="４０～６４歳",IF(EB8=1,IF(EF8=1,IF($CY$22="２割軽減",料率!$P$13-EU66,IF($CY$22="７割軽減",料率!$P$8,IF($CY$22="５割軽減",料率!$P$8,料率!$P$13))),料率!$P$8),0),0)</f>
        <v>0</v>
      </c>
      <c r="ER66" s="613"/>
      <c r="ES66" s="614"/>
      <c r="ET66" s="52"/>
      <c r="EU66" s="582">
        <f>IF(BU12="４０～６４歳",IF(BU11=DM3,IF($CY$22="７割軽減",料率!$B$22,IF($CY$22="５割軽減",料率!$F$22,IF($CY$22="２割軽減",料率!$J$22,0))),0),0)</f>
        <v>0</v>
      </c>
      <c r="EV66" s="571"/>
      <c r="EW66" s="572"/>
      <c r="EX66" s="52"/>
      <c r="EY66" s="582">
        <v>0</v>
      </c>
      <c r="EZ66" s="571"/>
      <c r="FA66" s="572"/>
      <c r="FB66" s="52"/>
      <c r="FC66" s="570">
        <f t="shared" si="20"/>
        <v>0</v>
      </c>
      <c r="FD66" s="571"/>
      <c r="FE66" s="572"/>
      <c r="FF66" s="52"/>
      <c r="FG66" s="52"/>
      <c r="FH66" s="52"/>
      <c r="FI66" s="52"/>
      <c r="FJ66" s="97" t="s">
        <v>188</v>
      </c>
      <c r="FK66" s="579">
        <f>EG67</f>
        <v>0</v>
      </c>
      <c r="FL66" s="618"/>
      <c r="FM66" s="618"/>
      <c r="FN66" s="619"/>
      <c r="FO66" s="160" t="s">
        <v>76</v>
      </c>
      <c r="FP66" s="579">
        <f>EQ67+EU67+EY67</f>
        <v>0</v>
      </c>
      <c r="FQ66" s="618"/>
      <c r="FR66" s="618"/>
      <c r="FS66" s="619"/>
      <c r="FT66" s="160" t="s">
        <v>76</v>
      </c>
      <c r="FU66" s="575">
        <f>FG61+FG63</f>
        <v>1740</v>
      </c>
      <c r="FV66" s="576"/>
      <c r="FW66" s="576"/>
      <c r="FX66" s="577"/>
      <c r="FY66" s="160" t="s">
        <v>67</v>
      </c>
      <c r="FZ66" s="579">
        <f>FK66+FP66+FU66</f>
        <v>1740</v>
      </c>
      <c r="GA66" s="618"/>
      <c r="GB66" s="618"/>
      <c r="GC66" s="619"/>
      <c r="GD66" s="160" t="s">
        <v>78</v>
      </c>
      <c r="GE66" s="575">
        <f>IF(FZ66&gt;料率!E42,料率!E42,ROUNDDOWN(FZ66,-2))</f>
        <v>1700</v>
      </c>
      <c r="GF66" s="576"/>
      <c r="GG66" s="576"/>
      <c r="GH66" s="577"/>
      <c r="GI66" s="52" t="s">
        <v>134</v>
      </c>
      <c r="GJ66" s="52"/>
    </row>
    <row r="67" spans="1:192" s="51" customFormat="1" ht="13.8"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c r="BT67" s="128"/>
      <c r="BU67" s="128"/>
      <c r="BV67" s="128"/>
      <c r="BW67" s="128"/>
      <c r="BX67" s="128"/>
      <c r="BY67" s="128"/>
      <c r="BZ67" s="133"/>
      <c r="CB67" s="641"/>
      <c r="CC67" s="57"/>
      <c r="CD67" s="61" t="s">
        <v>154</v>
      </c>
      <c r="CE67" s="57"/>
      <c r="CF67" s="92"/>
      <c r="CG67" s="61" t="s">
        <v>152</v>
      </c>
      <c r="CH67" s="583">
        <f>IF(CE65=0,0,料率!S8)</f>
        <v>0</v>
      </c>
      <c r="CI67" s="583"/>
      <c r="CJ67" s="583"/>
      <c r="CK67" s="61" t="s">
        <v>64</v>
      </c>
      <c r="CL67" s="61" t="s">
        <v>161</v>
      </c>
      <c r="CM67" s="584">
        <f>CH67-CN59</f>
        <v>0</v>
      </c>
      <c r="CN67" s="584"/>
      <c r="CO67" s="584"/>
      <c r="CP67" s="61" t="s">
        <v>64</v>
      </c>
      <c r="CQ67" s="61" t="s">
        <v>67</v>
      </c>
      <c r="CR67" s="583">
        <f>IF(FU62=0,0,IF(CY22="７割軽減",FU62+料率!D22,IF(CY22="５割軽減",FU62+料率!H22,IF(CY22="２割軽減",FU62+料率!L22,FU62))))</f>
        <v>0</v>
      </c>
      <c r="CS67" s="583"/>
      <c r="CT67" s="583"/>
      <c r="CU67" s="583"/>
      <c r="CV67" s="57"/>
      <c r="CW67" s="57"/>
      <c r="CX67" s="57"/>
      <c r="CY67" s="57"/>
      <c r="CZ67" s="57"/>
      <c r="DA67" s="57"/>
      <c r="DB67" s="93"/>
      <c r="DC67" s="21"/>
      <c r="DD67" s="134"/>
      <c r="DE67" s="21"/>
      <c r="DF67" s="22"/>
      <c r="DG67" s="22"/>
      <c r="DH67" s="22"/>
      <c r="DI67" s="22"/>
      <c r="DJ67" s="22"/>
      <c r="DK67" s="22"/>
      <c r="DL67" s="22"/>
      <c r="DM67" s="22"/>
      <c r="DN67" s="22"/>
      <c r="DO67" s="22"/>
      <c r="DP67" s="22"/>
      <c r="DQ67" s="22"/>
      <c r="DR67" s="22"/>
      <c r="DS67" s="22"/>
      <c r="DT67" s="22"/>
      <c r="DU67" s="52"/>
      <c r="DV67" s="52"/>
      <c r="DW67" s="52"/>
      <c r="DX67" s="54" t="s">
        <v>177</v>
      </c>
      <c r="DY67" s="585">
        <f>ROUNDDOWN((IF(EG61&gt;0,DV61,0)+IF(EG62&gt;0,DV62,0)+IF(EG63&gt;0,DV63,0)+IF(EG64&gt;0,DV64,0)+IF(EG65&gt;0,DV65,0)+IF(EG66&gt;0,DV66,0))*EA61/100,0)</f>
        <v>0</v>
      </c>
      <c r="DZ67" s="585"/>
      <c r="EA67" s="585"/>
      <c r="EB67" s="22"/>
      <c r="EC67" s="22"/>
      <c r="ED67" s="22"/>
      <c r="EE67" s="22"/>
      <c r="EF67" s="54" t="s">
        <v>80</v>
      </c>
      <c r="EG67" s="585">
        <f>EG61+EG62+EG63+EG64+EG65+EG66</f>
        <v>0</v>
      </c>
      <c r="EH67" s="585"/>
      <c r="EI67" s="585"/>
      <c r="EJ67" s="159"/>
      <c r="EK67" s="22"/>
      <c r="EL67" s="54" t="s">
        <v>148</v>
      </c>
      <c r="EM67" s="579">
        <f>EM61+EM62+EM63+EM64+EM65+EM66</f>
        <v>0</v>
      </c>
      <c r="EN67" s="618"/>
      <c r="EO67" s="619"/>
      <c r="EP67" s="63"/>
      <c r="EQ67" s="612">
        <f>SUM(EQ61:ES66)</f>
        <v>0</v>
      </c>
      <c r="ER67" s="613"/>
      <c r="ES67" s="614"/>
      <c r="ET67" s="52"/>
      <c r="EU67" s="582">
        <f>SUM(EU61:EW66)</f>
        <v>0</v>
      </c>
      <c r="EV67" s="571"/>
      <c r="EW67" s="572"/>
      <c r="EX67" s="52"/>
      <c r="EY67" s="582">
        <v>0</v>
      </c>
      <c r="EZ67" s="571"/>
      <c r="FA67" s="572"/>
      <c r="FB67" s="52"/>
      <c r="FC67" s="582">
        <f>SUM(FC61:FE66)</f>
        <v>0</v>
      </c>
      <c r="FD67" s="571"/>
      <c r="FE67" s="572"/>
      <c r="FF67" s="52"/>
      <c r="FG67" s="52"/>
      <c r="FH67" s="52"/>
      <c r="FI67" s="52"/>
      <c r="FJ67" s="97" t="s">
        <v>189</v>
      </c>
      <c r="FK67" s="579">
        <f>DY67</f>
        <v>0</v>
      </c>
      <c r="FL67" s="618"/>
      <c r="FM67" s="618"/>
      <c r="FN67" s="619"/>
      <c r="FO67" s="160" t="s">
        <v>76</v>
      </c>
      <c r="FP67" s="579">
        <f>EQ67+EU67+EY67</f>
        <v>0</v>
      </c>
      <c r="FQ67" s="618"/>
      <c r="FR67" s="618"/>
      <c r="FS67" s="619"/>
      <c r="FT67" s="160" t="s">
        <v>76</v>
      </c>
      <c r="FU67" s="575">
        <f>FG61+FG63</f>
        <v>1740</v>
      </c>
      <c r="FV67" s="576"/>
      <c r="FW67" s="576"/>
      <c r="FX67" s="577"/>
      <c r="FY67" s="160" t="s">
        <v>67</v>
      </c>
      <c r="FZ67" s="579">
        <f>FK67+FP67+FU67</f>
        <v>1740</v>
      </c>
      <c r="GA67" s="618"/>
      <c r="GB67" s="618"/>
      <c r="GC67" s="619"/>
      <c r="GD67" s="160" t="s">
        <v>78</v>
      </c>
      <c r="GE67" s="575">
        <f>IF(FZ67&gt;料率!E42,料率!E42,ROUNDDOWN(FZ67,-2))</f>
        <v>1700</v>
      </c>
      <c r="GF67" s="576"/>
      <c r="GG67" s="576"/>
      <c r="GH67" s="577"/>
      <c r="GI67" s="99">
        <f>GE66-GE67</f>
        <v>0</v>
      </c>
      <c r="GJ67" s="52"/>
    </row>
    <row r="68" spans="1:192" s="20" customFormat="1" ht="13.8"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28"/>
      <c r="AR68" s="128"/>
      <c r="AS68" s="128"/>
      <c r="AT68" s="128"/>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c r="BT68" s="128"/>
      <c r="BU68" s="128"/>
      <c r="BV68" s="128"/>
      <c r="BW68" s="128"/>
      <c r="BX68" s="128"/>
      <c r="BY68" s="128"/>
      <c r="BZ68" s="135"/>
      <c r="CB68" s="15"/>
      <c r="DD68" s="135"/>
      <c r="DE68" s="15"/>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52"/>
      <c r="EM68" s="34"/>
      <c r="EN68" s="34"/>
      <c r="EO68" s="34"/>
      <c r="EP68" s="52"/>
      <c r="EQ68" s="52"/>
      <c r="ER68" s="52"/>
      <c r="ES68" s="52"/>
      <c r="ET68" s="52"/>
      <c r="EU68" s="52"/>
      <c r="EV68" s="52"/>
      <c r="EW68" s="52"/>
      <c r="EX68" s="34"/>
      <c r="EY68" s="34"/>
      <c r="EZ68" s="34"/>
      <c r="FA68" s="34"/>
      <c r="FB68" s="34"/>
      <c r="FC68" s="34"/>
      <c r="FD68" s="34"/>
      <c r="FE68" s="52"/>
      <c r="FF68" s="52"/>
      <c r="FG68" s="160"/>
      <c r="FH68" s="52"/>
      <c r="FI68" s="34"/>
      <c r="FJ68" s="34"/>
      <c r="FK68" s="34"/>
      <c r="FL68" s="33"/>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row>
    <row r="69" spans="1:192" s="20" customFormat="1" ht="13.8"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c r="BT69" s="128"/>
      <c r="BU69" s="128"/>
      <c r="BV69" s="128"/>
      <c r="BW69" s="128"/>
      <c r="BX69" s="128"/>
      <c r="BY69" s="128"/>
      <c r="BZ69" s="135"/>
      <c r="CB69" s="96" t="s">
        <v>158</v>
      </c>
      <c r="DD69" s="135"/>
      <c r="DE69" s="15"/>
      <c r="EI69" s="15"/>
      <c r="EJ69" s="15"/>
      <c r="EL69" s="64"/>
    </row>
    <row r="70" spans="1:192" s="20" customFormat="1" ht="13.8"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c r="BT70" s="128"/>
      <c r="BU70" s="128"/>
      <c r="BV70" s="128"/>
      <c r="BW70" s="128"/>
      <c r="BX70" s="128"/>
      <c r="BY70" s="128"/>
      <c r="BZ70" s="135"/>
      <c r="CB70" s="638">
        <f>料率!B1</f>
        <v>7</v>
      </c>
      <c r="CC70" s="638"/>
      <c r="CD70" s="638"/>
      <c r="CE70" s="638"/>
      <c r="CF70" s="638"/>
      <c r="CG70" s="638"/>
      <c r="CH70" s="638"/>
      <c r="CI70" s="638"/>
      <c r="CJ70" s="638"/>
      <c r="CK70" s="638"/>
      <c r="CL70" s="638"/>
      <c r="CM70" s="638"/>
      <c r="CN70" s="638"/>
      <c r="CO70" s="638"/>
      <c r="CP70" s="638"/>
      <c r="CQ70" s="638"/>
      <c r="CR70" s="638"/>
      <c r="CS70" s="638"/>
      <c r="CT70" s="638"/>
      <c r="CU70" s="638"/>
      <c r="CV70" s="638"/>
      <c r="CW70" s="638"/>
      <c r="CX70" s="638"/>
      <c r="CY70" s="638"/>
      <c r="CZ70" s="638"/>
      <c r="DA70" s="66"/>
      <c r="DB70" s="66"/>
      <c r="DC70" s="66"/>
      <c r="DD70" s="203" t="s">
        <v>242</v>
      </c>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I70" s="15"/>
      <c r="EJ70" s="15"/>
      <c r="EL70" s="64"/>
    </row>
    <row r="71" spans="1:192" s="20" customFormat="1" ht="13.8"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28"/>
      <c r="AR71" s="128"/>
      <c r="AS71" s="128"/>
      <c r="AT71" s="128"/>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35"/>
      <c r="CB71" s="65" t="s">
        <v>253</v>
      </c>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136"/>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I71" s="15"/>
      <c r="EJ71" s="15"/>
      <c r="EL71" s="64"/>
    </row>
    <row r="72" spans="1:192" s="20" customFormat="1" ht="13.8"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28"/>
      <c r="AR72" s="128"/>
      <c r="AS72" s="128"/>
      <c r="AT72" s="128"/>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c r="BT72" s="128"/>
      <c r="BU72" s="128"/>
      <c r="BV72" s="128"/>
      <c r="BW72" s="128"/>
      <c r="BX72" s="128"/>
      <c r="BY72" s="128"/>
      <c r="BZ72" s="135"/>
      <c r="CB72" s="65" t="s">
        <v>159</v>
      </c>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137"/>
      <c r="DE72" s="21"/>
      <c r="DF72" s="21"/>
      <c r="DG72" s="21"/>
      <c r="DH72" s="21"/>
      <c r="DI72" s="21"/>
      <c r="DJ72" s="21"/>
      <c r="DK72" s="21"/>
      <c r="DL72" s="21"/>
      <c r="DM72" s="21"/>
      <c r="DN72" s="21"/>
      <c r="DO72" s="21"/>
      <c r="DP72" s="21"/>
      <c r="DQ72" s="21"/>
      <c r="DR72" s="21"/>
      <c r="DS72" s="21"/>
      <c r="DT72" s="21"/>
      <c r="DU72" s="21"/>
      <c r="DV72" s="21"/>
      <c r="DW72" s="21"/>
      <c r="DX72" s="21"/>
      <c r="DY72" s="21"/>
      <c r="DZ72" s="15"/>
      <c r="EA72" s="15"/>
      <c r="EB72" s="15"/>
      <c r="EC72" s="15"/>
      <c r="ED72" s="15"/>
      <c r="EE72" s="15"/>
      <c r="EF72" s="15"/>
      <c r="EI72" s="15"/>
      <c r="EJ72" s="15"/>
      <c r="EL72" s="64"/>
    </row>
    <row r="73" spans="1:192" s="20" customFormat="1" ht="13.8"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28"/>
      <c r="AR73" s="128"/>
      <c r="AS73" s="128"/>
      <c r="AT73" s="128"/>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c r="BT73" s="128"/>
      <c r="BU73" s="128"/>
      <c r="BV73" s="128"/>
      <c r="BW73" s="128"/>
      <c r="BX73" s="128"/>
      <c r="BY73" s="128"/>
      <c r="BZ73" s="135"/>
      <c r="CB73" s="154"/>
      <c r="CC73" s="155"/>
      <c r="CD73" s="155"/>
      <c r="CE73" s="155"/>
      <c r="CF73" s="155"/>
      <c r="CG73" s="155"/>
      <c r="CH73" s="155"/>
      <c r="CI73" s="155"/>
      <c r="CJ73" s="155"/>
      <c r="CK73" s="155"/>
      <c r="CL73" s="155"/>
      <c r="CM73" s="155"/>
      <c r="CN73" s="155"/>
      <c r="CO73" s="155"/>
      <c r="CP73" s="155"/>
      <c r="CQ73" s="155"/>
      <c r="CR73" s="155"/>
      <c r="CS73" s="155"/>
      <c r="CT73" s="155"/>
      <c r="CU73" s="155"/>
      <c r="CV73" s="155"/>
      <c r="CW73" s="155"/>
      <c r="CX73" s="155"/>
      <c r="CY73" s="155"/>
      <c r="CZ73" s="155"/>
      <c r="DA73" s="155"/>
      <c r="DB73" s="155"/>
      <c r="DD73" s="138"/>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51"/>
      <c r="EM73" s="51"/>
      <c r="EN73" s="21"/>
      <c r="EO73" s="21"/>
      <c r="EP73" s="21"/>
      <c r="EQ73" s="21"/>
      <c r="ER73" s="21"/>
      <c r="ES73" s="21"/>
      <c r="ET73" s="21"/>
      <c r="EU73" s="21"/>
      <c r="EV73" s="21"/>
      <c r="EW73" s="21"/>
      <c r="EX73" s="21"/>
      <c r="EY73" s="51"/>
      <c r="EZ73" s="51"/>
      <c r="FA73" s="51"/>
      <c r="FB73" s="51"/>
      <c r="FC73" s="51"/>
      <c r="FD73" s="51"/>
      <c r="FE73" s="51"/>
      <c r="FF73" s="51"/>
      <c r="FG73" s="21"/>
      <c r="FH73" s="21"/>
      <c r="FI73" s="15"/>
    </row>
    <row r="74" spans="1:192" s="215" customFormat="1" ht="13.8"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4"/>
      <c r="CB74" s="216" t="s">
        <v>231</v>
      </c>
      <c r="CC74" s="216"/>
      <c r="CF74" s="216" t="s">
        <v>255</v>
      </c>
      <c r="CJ74" s="215" t="s">
        <v>256</v>
      </c>
      <c r="CN74" s="215" t="s">
        <v>257</v>
      </c>
      <c r="CQ74" s="347">
        <f ca="1">CY2</f>
        <v>45806</v>
      </c>
      <c r="CR74" s="347"/>
      <c r="CS74" s="217" t="s">
        <v>232</v>
      </c>
      <c r="CV74" s="215" t="s">
        <v>258</v>
      </c>
      <c r="DD74" s="218"/>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6"/>
      <c r="EJ74" s="216"/>
      <c r="EK74" s="216"/>
      <c r="EN74" s="216"/>
      <c r="EO74" s="216"/>
      <c r="EP74" s="216"/>
      <c r="EQ74" s="216"/>
      <c r="ER74" s="216"/>
      <c r="ES74" s="216"/>
      <c r="ET74" s="216"/>
      <c r="EU74" s="216"/>
      <c r="EV74" s="216"/>
      <c r="EW74" s="216"/>
      <c r="EX74" s="216"/>
      <c r="FG74" s="216"/>
      <c r="FH74" s="216"/>
      <c r="FI74" s="216"/>
    </row>
    <row r="75" spans="1:192" s="51" customFormat="1" ht="13.8"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33"/>
      <c r="DD75" s="134"/>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N75" s="21"/>
      <c r="EO75" s="21"/>
      <c r="EP75" s="21"/>
      <c r="EQ75" s="21"/>
      <c r="ER75" s="21"/>
      <c r="ES75" s="21"/>
      <c r="ET75" s="21"/>
      <c r="EU75" s="21"/>
      <c r="EV75" s="21"/>
      <c r="EW75" s="21"/>
      <c r="EX75" s="21"/>
      <c r="FG75" s="21"/>
      <c r="FH75" s="21"/>
      <c r="FI75" s="21"/>
    </row>
    <row r="76" spans="1:192" s="20" customFormat="1" ht="13.8"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28"/>
      <c r="AR76" s="128"/>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35"/>
      <c r="CA76" s="135"/>
      <c r="CB76" s="138"/>
      <c r="CC76" s="130"/>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
      <c r="EM76" s="1"/>
      <c r="EN76" s="15"/>
      <c r="EO76" s="1"/>
      <c r="EP76" s="1"/>
      <c r="EQ76" s="1"/>
      <c r="ER76" s="1"/>
      <c r="ES76" s="1"/>
      <c r="ET76" s="1"/>
      <c r="EU76" s="1"/>
      <c r="EV76" s="1"/>
      <c r="EW76" s="1"/>
      <c r="EX76" s="1"/>
      <c r="EY76" s="1"/>
      <c r="EZ76" s="1"/>
      <c r="FA76" s="1"/>
      <c r="FB76" s="1"/>
      <c r="FC76" s="1"/>
      <c r="FD76" s="68"/>
      <c r="FE76" s="68"/>
      <c r="FF76" s="15"/>
      <c r="FG76" s="15"/>
      <c r="FH76" s="15"/>
      <c r="FI76" s="15"/>
    </row>
    <row r="77" spans="1:192" s="20" customFormat="1" ht="13.8"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28"/>
      <c r="AR77" s="128"/>
      <c r="AS77" s="128"/>
      <c r="AT77" s="128"/>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c r="BY77" s="128"/>
      <c r="CB77" s="15"/>
      <c r="CC77" s="1"/>
      <c r="CD77" s="1"/>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158"/>
      <c r="EO77" s="15"/>
      <c r="EP77" s="15"/>
      <c r="EQ77" s="158"/>
      <c r="ER77" s="15"/>
      <c r="ES77" s="15"/>
      <c r="ET77" s="15"/>
      <c r="EU77" s="15"/>
      <c r="EV77" s="15"/>
      <c r="EW77" s="15"/>
      <c r="EX77" s="15"/>
      <c r="EY77" s="158"/>
      <c r="EZ77" s="501"/>
      <c r="FA77" s="501"/>
      <c r="FB77" s="158"/>
      <c r="FC77" s="15"/>
      <c r="FD77" s="15"/>
      <c r="FE77" s="15"/>
      <c r="FF77" s="15"/>
      <c r="FG77" s="15"/>
      <c r="FH77" s="15"/>
      <c r="FI77" s="15"/>
    </row>
    <row r="78" spans="1:192" s="20" customFormat="1" ht="13.8"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28"/>
      <c r="AR78" s="128"/>
      <c r="AS78" s="128"/>
      <c r="AT78" s="128"/>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c r="BY78" s="128"/>
      <c r="CB78" s="15"/>
      <c r="CC78" s="1"/>
      <c r="CD78" s="1"/>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8"/>
      <c r="EO78" s="15"/>
      <c r="EP78" s="15"/>
      <c r="EQ78" s="158"/>
      <c r="ER78" s="15"/>
      <c r="ES78" s="15"/>
      <c r="ET78" s="15"/>
      <c r="EU78" s="15"/>
      <c r="EV78" s="15"/>
      <c r="EW78" s="15"/>
      <c r="EX78" s="15"/>
      <c r="EY78" s="158"/>
      <c r="EZ78" s="15"/>
      <c r="FA78" s="15"/>
      <c r="FB78" s="158"/>
      <c r="FC78" s="15"/>
      <c r="FD78" s="15"/>
      <c r="FE78" s="15"/>
      <c r="FF78" s="15"/>
      <c r="FG78" s="15"/>
      <c r="FH78" s="15"/>
      <c r="FI78" s="15"/>
    </row>
    <row r="79" spans="1:192" s="20" customFormat="1" ht="13.8"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28"/>
      <c r="AR79" s="128"/>
      <c r="AS79" s="128"/>
      <c r="AT79" s="128"/>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c r="BX79" s="128"/>
      <c r="BY79" s="128"/>
      <c r="CB79" s="15"/>
      <c r="CC79" s="1"/>
      <c r="CD79" s="1"/>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8"/>
      <c r="EO79" s="15"/>
      <c r="EP79" s="15"/>
      <c r="EQ79" s="158"/>
      <c r="ER79" s="15"/>
      <c r="ES79" s="15"/>
      <c r="ET79" s="15"/>
      <c r="EU79" s="15"/>
      <c r="EV79" s="15"/>
      <c r="EW79" s="15"/>
      <c r="EX79" s="15"/>
      <c r="EY79" s="158"/>
      <c r="EZ79" s="15"/>
      <c r="FA79" s="15"/>
      <c r="FB79" s="158"/>
      <c r="FC79" s="15"/>
      <c r="FD79" s="15"/>
      <c r="FE79" s="15"/>
      <c r="FF79" s="15"/>
      <c r="FG79" s="15"/>
      <c r="FH79" s="15"/>
      <c r="FI79" s="15"/>
    </row>
    <row r="80" spans="1:192" s="20" customFormat="1" ht="13.8"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CB80" s="15"/>
      <c r="CC80" s="1"/>
      <c r="CD80" s="1"/>
      <c r="DD80" s="1"/>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8"/>
      <c r="EO80" s="15"/>
      <c r="EP80" s="15"/>
      <c r="EQ80" s="158"/>
      <c r="ER80" s="15"/>
      <c r="ES80" s="15"/>
      <c r="ET80" s="15"/>
      <c r="EU80" s="15"/>
      <c r="EV80" s="15"/>
      <c r="EW80" s="15"/>
      <c r="EX80" s="15"/>
      <c r="EY80" s="158"/>
      <c r="EZ80" s="15"/>
      <c r="FA80" s="15"/>
      <c r="FB80" s="158"/>
      <c r="FC80" s="15"/>
      <c r="FD80" s="15"/>
      <c r="FE80" s="15"/>
      <c r="FF80" s="15"/>
      <c r="FG80" s="15"/>
      <c r="FH80" s="15"/>
      <c r="FI80" s="15"/>
    </row>
    <row r="81" spans="1:189" s="20" customFormat="1" ht="13.8"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CB81" s="15"/>
      <c r="CC81" s="1"/>
      <c r="CD81" s="1"/>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8"/>
      <c r="EO81" s="15"/>
      <c r="EP81" s="15"/>
      <c r="EQ81" s="158"/>
      <c r="ER81" s="15"/>
      <c r="ES81" s="15"/>
      <c r="ET81" s="15"/>
      <c r="EU81" s="15"/>
      <c r="EV81" s="15"/>
      <c r="EW81" s="15"/>
      <c r="EX81" s="15"/>
      <c r="EY81" s="158"/>
      <c r="EZ81" s="15"/>
      <c r="FA81" s="15"/>
      <c r="FB81" s="158"/>
      <c r="FC81" s="15"/>
      <c r="FD81" s="15"/>
      <c r="FE81" s="15"/>
      <c r="FF81" s="15"/>
      <c r="FG81" s="15"/>
      <c r="FH81" s="15"/>
      <c r="FI81" s="15"/>
    </row>
    <row r="82" spans="1:189" s="20" customFormat="1" ht="13.8"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CB82" s="15"/>
      <c r="CC82" s="1"/>
      <c r="CD82" s="1"/>
      <c r="CF82" s="1"/>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8"/>
      <c r="EO82" s="15"/>
      <c r="EP82" s="15"/>
      <c r="EQ82" s="158"/>
      <c r="ER82" s="15"/>
      <c r="ES82" s="15"/>
      <c r="ET82" s="15"/>
      <c r="EU82" s="15"/>
      <c r="EV82" s="15"/>
      <c r="EW82" s="15"/>
      <c r="EX82" s="15"/>
      <c r="EY82" s="158"/>
      <c r="EZ82" s="15"/>
      <c r="FA82" s="15"/>
      <c r="FB82" s="158"/>
      <c r="FC82" s="15"/>
      <c r="FD82" s="15"/>
      <c r="FE82" s="15"/>
      <c r="FF82" s="15"/>
      <c r="FG82" s="15"/>
      <c r="FH82" s="15"/>
      <c r="FI82" s="15"/>
      <c r="FN82" s="70"/>
    </row>
    <row r="83" spans="1:189" s="20" customFormat="1" ht="13.8"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CB83" s="15"/>
      <c r="CC83" s="1"/>
      <c r="CD83" s="15"/>
      <c r="CF83" s="15"/>
      <c r="CG83" s="15"/>
      <c r="CH83" s="15"/>
      <c r="CI83" s="15"/>
      <c r="CY83" s="15"/>
      <c r="CZ83" s="15"/>
      <c r="DA83" s="15"/>
      <c r="DB83" s="71"/>
      <c r="DC83" s="71"/>
      <c r="DD83" s="72"/>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501"/>
      <c r="EZ83" s="501"/>
      <c r="FA83" s="501"/>
      <c r="FB83" s="501"/>
      <c r="FC83" s="15"/>
      <c r="FD83" s="15"/>
      <c r="FE83" s="15"/>
      <c r="FF83" s="15"/>
      <c r="FG83" s="15"/>
      <c r="FH83" s="15"/>
      <c r="FI83" s="15"/>
      <c r="FN83" s="70"/>
    </row>
    <row r="84" spans="1:189" s="20" customFormat="1" ht="13.8"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28"/>
      <c r="AR84" s="128"/>
      <c r="AS84" s="128"/>
      <c r="AT84" s="128"/>
      <c r="AU84" s="128"/>
      <c r="AV84" s="128"/>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c r="BY84" s="128"/>
      <c r="CY84" s="15"/>
      <c r="CZ84" s="15"/>
      <c r="DA84" s="15"/>
      <c r="DB84" s="15"/>
      <c r="DC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N84" s="70"/>
    </row>
    <row r="85" spans="1:189" s="20" customFormat="1" ht="13.8"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c r="BY85" s="128"/>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N85" s="70"/>
    </row>
    <row r="86" spans="1:189" s="20" customFormat="1" ht="13.8"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24"/>
      <c r="BS86" s="124"/>
      <c r="BT86" s="124"/>
      <c r="BU86" s="124"/>
      <c r="BV86" s="124"/>
      <c r="BW86" s="124"/>
      <c r="BX86" s="124"/>
      <c r="BY86" s="124"/>
      <c r="CB86" s="15"/>
      <c r="CC86" s="1"/>
      <c r="CE86" s="15"/>
      <c r="CF86" s="15"/>
      <c r="CG86" s="15"/>
      <c r="CH86" s="15"/>
      <c r="CX86" s="73"/>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7"/>
      <c r="FN86" s="70"/>
    </row>
    <row r="87" spans="1:189" s="20" customFormat="1" ht="13.8"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4"/>
      <c r="BV87" s="124"/>
      <c r="BW87" s="124"/>
      <c r="BX87" s="124"/>
      <c r="BY87" s="124"/>
      <c r="CB87" s="15"/>
      <c r="CC87" s="1"/>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M87" s="7"/>
      <c r="FN87" s="70"/>
    </row>
    <row r="88" spans="1:189" s="20" customFormat="1" ht="13.8"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124"/>
      <c r="BU88" s="124"/>
      <c r="BV88" s="124"/>
      <c r="BW88" s="124"/>
      <c r="BX88" s="124"/>
      <c r="BY88" s="124"/>
      <c r="CB88" s="15"/>
      <c r="CC88" s="1"/>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M88" s="7"/>
      <c r="FN88" s="70"/>
    </row>
    <row r="89" spans="1:189" ht="13.8" customHeight="1">
      <c r="CB89" s="15"/>
      <c r="CC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O89" s="20"/>
      <c r="FP89" s="20"/>
      <c r="FQ89" s="20"/>
      <c r="FR89" s="20"/>
      <c r="FS89" s="20"/>
      <c r="FT89" s="20"/>
      <c r="FU89" s="20"/>
      <c r="FW89" s="20"/>
      <c r="FX89" s="20"/>
      <c r="FY89" s="20"/>
      <c r="GA89" s="20"/>
      <c r="GB89" s="20"/>
      <c r="GC89" s="20"/>
      <c r="GE89" s="20"/>
      <c r="GF89" s="20"/>
      <c r="GG89" s="20"/>
    </row>
    <row r="107" spans="81:170" ht="13.8" customHeight="1">
      <c r="CC107" s="15"/>
      <c r="CD107" s="15"/>
      <c r="CE107" s="32"/>
      <c r="CF107" s="158"/>
      <c r="CG107" s="158"/>
      <c r="CH107" s="158"/>
      <c r="CI107" s="158"/>
      <c r="CJ107" s="32"/>
      <c r="CK107" s="158"/>
      <c r="CL107" s="158"/>
      <c r="CM107" s="158"/>
      <c r="CN107" s="158"/>
      <c r="CO107" s="38"/>
      <c r="CP107" s="38"/>
      <c r="CQ107" s="38"/>
      <c r="CR107" s="38"/>
      <c r="CS107" s="158"/>
      <c r="CT107" s="32"/>
      <c r="CU107" s="158"/>
      <c r="CV107" s="158"/>
      <c r="CW107" s="158"/>
      <c r="CX107" s="158"/>
      <c r="CY107" s="38"/>
      <c r="CZ107" s="38"/>
      <c r="DA107" s="38"/>
      <c r="DB107" s="38"/>
      <c r="DC107" s="15"/>
      <c r="DD107" s="15"/>
      <c r="FN107" s="7"/>
    </row>
  </sheetData>
  <protectedRanges>
    <protectedRange sqref="CD31 DD36:DD38 CD33 DD61 FG43:FI43 EM28:EO34 DC61:DC67 CD66 FL38 GI40:GK40 EM39:EO45 FL41 CD64 DD63:DD67 CT24 CX24 DE86:EK86 DE84:EK84 FG32:FI32 CD42 CD44 FJ38:FJ39 CY22:CY23 EM50:EO56 DD47:DD49 FG54:FI54 FL49 GI51:GK51 FL52 CD53 CD55 FJ49:FJ50 EH2 EL24 EL20 EL22 EL10:EL18" name="範囲1"/>
  </protectedRanges>
  <mergeCells count="907">
    <mergeCell ref="B44:D44"/>
    <mergeCell ref="E44:H44"/>
    <mergeCell ref="B30:C30"/>
    <mergeCell ref="D30:E30"/>
    <mergeCell ref="F30:G30"/>
    <mergeCell ref="H30:I30"/>
    <mergeCell ref="J30:K30"/>
    <mergeCell ref="L30:M30"/>
    <mergeCell ref="O30:P30"/>
    <mergeCell ref="B43:D43"/>
    <mergeCell ref="E43:H43"/>
    <mergeCell ref="B42:D42"/>
    <mergeCell ref="E41:H41"/>
    <mergeCell ref="E42:H42"/>
    <mergeCell ref="B38:D38"/>
    <mergeCell ref="E38:H38"/>
    <mergeCell ref="B41:D41"/>
    <mergeCell ref="B34:D34"/>
    <mergeCell ref="E34:H34"/>
    <mergeCell ref="B35:D35"/>
    <mergeCell ref="E35:H35"/>
    <mergeCell ref="B36:D36"/>
    <mergeCell ref="E36:H36"/>
    <mergeCell ref="J37:M38"/>
    <mergeCell ref="Q30:R30"/>
    <mergeCell ref="S30:T30"/>
    <mergeCell ref="B8:C8"/>
    <mergeCell ref="V12:Y12"/>
    <mergeCell ref="J21:K21"/>
    <mergeCell ref="L21:M21"/>
    <mergeCell ref="I8:K8"/>
    <mergeCell ref="L8:M8"/>
    <mergeCell ref="N8:O8"/>
    <mergeCell ref="F8:H8"/>
    <mergeCell ref="I12:K12"/>
    <mergeCell ref="B11:K11"/>
    <mergeCell ref="B20:M20"/>
    <mergeCell ref="L13:U13"/>
    <mergeCell ref="D21:E21"/>
    <mergeCell ref="F18:G18"/>
    <mergeCell ref="F22:G22"/>
    <mergeCell ref="F13:H13"/>
    <mergeCell ref="V13:W13"/>
    <mergeCell ref="I13:K13"/>
    <mergeCell ref="O16:T16"/>
    <mergeCell ref="S17:T17"/>
    <mergeCell ref="O17:P17"/>
    <mergeCell ref="B16:M16"/>
    <mergeCell ref="S26:T26"/>
    <mergeCell ref="F21:G21"/>
    <mergeCell ref="B22:C22"/>
    <mergeCell ref="F26:G26"/>
    <mergeCell ref="J26:K26"/>
    <mergeCell ref="Q25:R25"/>
    <mergeCell ref="J18:K18"/>
    <mergeCell ref="L18:M18"/>
    <mergeCell ref="L25:M25"/>
    <mergeCell ref="B26:C26"/>
    <mergeCell ref="H26:I26"/>
    <mergeCell ref="H25:I25"/>
    <mergeCell ref="D26:E26"/>
    <mergeCell ref="L26:M26"/>
    <mergeCell ref="B24:M24"/>
    <mergeCell ref="H21:I21"/>
    <mergeCell ref="Q26:R26"/>
    <mergeCell ref="O26:P26"/>
    <mergeCell ref="Q18:R18"/>
    <mergeCell ref="S25:T25"/>
    <mergeCell ref="O18:P18"/>
    <mergeCell ref="O25:P25"/>
    <mergeCell ref="B18:C18"/>
    <mergeCell ref="D18:E18"/>
    <mergeCell ref="N37:P38"/>
    <mergeCell ref="N34:P35"/>
    <mergeCell ref="B21:C21"/>
    <mergeCell ref="D22:E22"/>
    <mergeCell ref="F25:G25"/>
    <mergeCell ref="J25:K25"/>
    <mergeCell ref="D25:E25"/>
    <mergeCell ref="J34:M35"/>
    <mergeCell ref="H22:I22"/>
    <mergeCell ref="L22:M22"/>
    <mergeCell ref="O24:T24"/>
    <mergeCell ref="J22:K22"/>
    <mergeCell ref="B28:M28"/>
    <mergeCell ref="O28:T28"/>
    <mergeCell ref="B29:C29"/>
    <mergeCell ref="D29:E29"/>
    <mergeCell ref="F29:G29"/>
    <mergeCell ref="H29:I29"/>
    <mergeCell ref="J29:K29"/>
    <mergeCell ref="B25:C25"/>
    <mergeCell ref="L29:M29"/>
    <mergeCell ref="O29:P29"/>
    <mergeCell ref="Q29:R29"/>
    <mergeCell ref="S29:T29"/>
    <mergeCell ref="AM7:AO7"/>
    <mergeCell ref="AF8:AG8"/>
    <mergeCell ref="AH8:AI8"/>
    <mergeCell ref="AJ8:AL8"/>
    <mergeCell ref="AM8:AO8"/>
    <mergeCell ref="AF11:AO11"/>
    <mergeCell ref="S8:U8"/>
    <mergeCell ref="V11:AE11"/>
    <mergeCell ref="AC12:AE12"/>
    <mergeCell ref="S12:U12"/>
    <mergeCell ref="AM12:AO12"/>
    <mergeCell ref="Z12:AB12"/>
    <mergeCell ref="X8:Y8"/>
    <mergeCell ref="AC7:AE7"/>
    <mergeCell ref="AF13:AG13"/>
    <mergeCell ref="AH13:AI13"/>
    <mergeCell ref="AJ13:AL13"/>
    <mergeCell ref="AM13:AO13"/>
    <mergeCell ref="S18:T18"/>
    <mergeCell ref="F17:G17"/>
    <mergeCell ref="J17:K17"/>
    <mergeCell ref="L17:M17"/>
    <mergeCell ref="Q17:R17"/>
    <mergeCell ref="H17:I17"/>
    <mergeCell ref="AC13:AE13"/>
    <mergeCell ref="H18:I18"/>
    <mergeCell ref="F7:H7"/>
    <mergeCell ref="I7:K7"/>
    <mergeCell ref="L7:O7"/>
    <mergeCell ref="P7:R7"/>
    <mergeCell ref="S7:U7"/>
    <mergeCell ref="L11:U11"/>
    <mergeCell ref="D8:E8"/>
    <mergeCell ref="AC8:AE8"/>
    <mergeCell ref="Z8:AB8"/>
    <mergeCell ref="V8:W8"/>
    <mergeCell ref="P8:R8"/>
    <mergeCell ref="AF6:AO6"/>
    <mergeCell ref="AF7:AI7"/>
    <mergeCell ref="AJ7:AL7"/>
    <mergeCell ref="G3:I3"/>
    <mergeCell ref="B3:E3"/>
    <mergeCell ref="B1:P1"/>
    <mergeCell ref="B17:C17"/>
    <mergeCell ref="D17:E17"/>
    <mergeCell ref="AF12:AI12"/>
    <mergeCell ref="B13:C13"/>
    <mergeCell ref="D13:E13"/>
    <mergeCell ref="F12:H12"/>
    <mergeCell ref="X13:Y13"/>
    <mergeCell ref="Z13:AB13"/>
    <mergeCell ref="L12:O12"/>
    <mergeCell ref="P12:R12"/>
    <mergeCell ref="AJ12:AL12"/>
    <mergeCell ref="V6:AE6"/>
    <mergeCell ref="B6:K6"/>
    <mergeCell ref="L6:U6"/>
    <mergeCell ref="B12:E12"/>
    <mergeCell ref="V7:Y7"/>
    <mergeCell ref="Z7:AB7"/>
    <mergeCell ref="B7:E7"/>
    <mergeCell ref="FA17:FD17"/>
    <mergeCell ref="DQ54:DS54"/>
    <mergeCell ref="BS33:BY36"/>
    <mergeCell ref="BH5:BJ5"/>
    <mergeCell ref="BH4:BJ4"/>
    <mergeCell ref="BK5:BM5"/>
    <mergeCell ref="CB70:CZ70"/>
    <mergeCell ref="EQ53:ES53"/>
    <mergeCell ref="DG51:DI51"/>
    <mergeCell ref="DV53:DY53"/>
    <mergeCell ref="EA53:EB53"/>
    <mergeCell ref="ED53:EE53"/>
    <mergeCell ref="EM63:EO63"/>
    <mergeCell ref="EQ63:ES63"/>
    <mergeCell ref="CB58:CB67"/>
    <mergeCell ref="DL59:DO59"/>
    <mergeCell ref="DP59:DS59"/>
    <mergeCell ref="CD59:CG59"/>
    <mergeCell ref="EM45:EO45"/>
    <mergeCell ref="EQ45:ES45"/>
    <mergeCell ref="EG63:EI63"/>
    <mergeCell ref="EG41:EI41"/>
    <mergeCell ref="EM41:EO41"/>
    <mergeCell ref="EQ39:ES39"/>
    <mergeCell ref="DU17:DW17"/>
    <mergeCell ref="CY2:DB2"/>
    <mergeCell ref="EV17:EY17"/>
    <mergeCell ref="BU4:BX5"/>
    <mergeCell ref="EA55:EB55"/>
    <mergeCell ref="ED55:EE55"/>
    <mergeCell ref="DV54:DY54"/>
    <mergeCell ref="EA54:EB54"/>
    <mergeCell ref="ED54:EE54"/>
    <mergeCell ref="EG54:EI54"/>
    <mergeCell ref="EM54:EO54"/>
    <mergeCell ref="EQ54:ES54"/>
    <mergeCell ref="EQ42:ES42"/>
    <mergeCell ref="CH54:CJ54"/>
    <mergeCell ref="CM54:CO54"/>
    <mergeCell ref="CR54:CU54"/>
    <mergeCell ref="DG54:DI54"/>
    <mergeCell ref="DK54:DN54"/>
    <mergeCell ref="CB2:CV2"/>
    <mergeCell ref="BV3:BX3"/>
    <mergeCell ref="DQ53:DS53"/>
    <mergeCell ref="EU53:EW53"/>
    <mergeCell ref="ED50:EE50"/>
    <mergeCell ref="EG50:EI50"/>
    <mergeCell ref="FK55:FN55"/>
    <mergeCell ref="FP55:FS55"/>
    <mergeCell ref="FU55:FX55"/>
    <mergeCell ref="FZ55:GC55"/>
    <mergeCell ref="EU54:EW54"/>
    <mergeCell ref="EY54:FA54"/>
    <mergeCell ref="FC54:FE54"/>
    <mergeCell ref="FG54:FI54"/>
    <mergeCell ref="FC52:FE52"/>
    <mergeCell ref="FG52:FI52"/>
    <mergeCell ref="FC56:FE56"/>
    <mergeCell ref="GE55:GH55"/>
    <mergeCell ref="CH56:CJ56"/>
    <mergeCell ref="CM56:CO56"/>
    <mergeCell ref="CR56:CU56"/>
    <mergeCell ref="DY56:EA56"/>
    <mergeCell ref="EG56:EI56"/>
    <mergeCell ref="EG55:EI55"/>
    <mergeCell ref="EM55:EO55"/>
    <mergeCell ref="EQ55:ES55"/>
    <mergeCell ref="EU55:EW55"/>
    <mergeCell ref="EY55:FA55"/>
    <mergeCell ref="FC55:FE55"/>
    <mergeCell ref="FP56:FS56"/>
    <mergeCell ref="FU56:FX56"/>
    <mergeCell ref="FZ56:GC56"/>
    <mergeCell ref="GE56:GH56"/>
    <mergeCell ref="EM56:EO56"/>
    <mergeCell ref="EQ56:ES56"/>
    <mergeCell ref="EU56:EW56"/>
    <mergeCell ref="EY56:FA56"/>
    <mergeCell ref="DG55:DI55"/>
    <mergeCell ref="DK55:DN55"/>
    <mergeCell ref="FK56:FN56"/>
    <mergeCell ref="EM50:EO50"/>
    <mergeCell ref="EQ50:ES50"/>
    <mergeCell ref="EU50:EW50"/>
    <mergeCell ref="EY50:FA50"/>
    <mergeCell ref="DK51:DN51"/>
    <mergeCell ref="FC53:FE53"/>
    <mergeCell ref="EU52:EW52"/>
    <mergeCell ref="EY52:FA52"/>
    <mergeCell ref="EG53:EI53"/>
    <mergeCell ref="EM53:EO53"/>
    <mergeCell ref="EY53:FA53"/>
    <mergeCell ref="GE51:GH51"/>
    <mergeCell ref="DG52:DI52"/>
    <mergeCell ref="DK52:DN52"/>
    <mergeCell ref="DQ52:DS52"/>
    <mergeCell ref="DV52:DY52"/>
    <mergeCell ref="EA52:EB52"/>
    <mergeCell ref="ED52:EE52"/>
    <mergeCell ref="EG52:EI52"/>
    <mergeCell ref="EM52:EO52"/>
    <mergeCell ref="EQ52:ES52"/>
    <mergeCell ref="EY51:FA51"/>
    <mergeCell ref="FC51:FE51"/>
    <mergeCell ref="FK51:FN51"/>
    <mergeCell ref="FP51:FS51"/>
    <mergeCell ref="FU51:FX51"/>
    <mergeCell ref="FZ51:GC51"/>
    <mergeCell ref="EA51:EB51"/>
    <mergeCell ref="DQ51:DS51"/>
    <mergeCell ref="DV51:DY51"/>
    <mergeCell ref="ED51:EE51"/>
    <mergeCell ref="EG51:EI51"/>
    <mergeCell ref="EM51:EO51"/>
    <mergeCell ref="EQ51:ES51"/>
    <mergeCell ref="EU51:EW51"/>
    <mergeCell ref="EZ77:FA77"/>
    <mergeCell ref="EY83:FB83"/>
    <mergeCell ref="EM67:EO67"/>
    <mergeCell ref="EQ67:ES67"/>
    <mergeCell ref="EU67:EW67"/>
    <mergeCell ref="EY67:FA67"/>
    <mergeCell ref="EG65:EI65"/>
    <mergeCell ref="EM65:EO65"/>
    <mergeCell ref="EQ65:ES65"/>
    <mergeCell ref="CB47:CB56"/>
    <mergeCell ref="DL48:DO48"/>
    <mergeCell ref="DP48:DS48"/>
    <mergeCell ref="CD48:CG48"/>
    <mergeCell ref="CI48:CL48"/>
    <mergeCell ref="CN48:CQ48"/>
    <mergeCell ref="CS48:CV48"/>
    <mergeCell ref="CX48:DA48"/>
    <mergeCell ref="FG50:FI50"/>
    <mergeCell ref="CE51:CG51"/>
    <mergeCell ref="CJ51:CL51"/>
    <mergeCell ref="CO51:CP51"/>
    <mergeCell ref="CR51:CS51"/>
    <mergeCell ref="CU51:CW51"/>
    <mergeCell ref="DG53:DI53"/>
    <mergeCell ref="DK53:DN53"/>
    <mergeCell ref="DQ55:DS55"/>
    <mergeCell ref="DV55:DY55"/>
    <mergeCell ref="FC50:FE50"/>
    <mergeCell ref="DG50:DI50"/>
    <mergeCell ref="DK50:DN50"/>
    <mergeCell ref="DQ50:DS50"/>
    <mergeCell ref="DV50:DY50"/>
    <mergeCell ref="EA50:EB50"/>
    <mergeCell ref="FG65:FI65"/>
    <mergeCell ref="ED66:EE66"/>
    <mergeCell ref="DV65:DY65"/>
    <mergeCell ref="EA65:EB65"/>
    <mergeCell ref="ED65:EE65"/>
    <mergeCell ref="FP66:FS66"/>
    <mergeCell ref="FU66:FX66"/>
    <mergeCell ref="FZ66:GC66"/>
    <mergeCell ref="EU63:EW63"/>
    <mergeCell ref="EY63:FA63"/>
    <mergeCell ref="EQ64:ES64"/>
    <mergeCell ref="EU64:EW64"/>
    <mergeCell ref="EY64:FA64"/>
    <mergeCell ref="ED63:EE63"/>
    <mergeCell ref="FC64:FE64"/>
    <mergeCell ref="EM64:EO64"/>
    <mergeCell ref="GE66:GH66"/>
    <mergeCell ref="CH67:CJ67"/>
    <mergeCell ref="CM67:CO67"/>
    <mergeCell ref="CR67:CU67"/>
    <mergeCell ref="DY67:EA67"/>
    <mergeCell ref="EG67:EI67"/>
    <mergeCell ref="EG66:EI66"/>
    <mergeCell ref="EM66:EO66"/>
    <mergeCell ref="EQ66:ES66"/>
    <mergeCell ref="EU66:EW66"/>
    <mergeCell ref="EY66:FA66"/>
    <mergeCell ref="FC66:FE66"/>
    <mergeCell ref="FP67:FS67"/>
    <mergeCell ref="FU67:FX67"/>
    <mergeCell ref="FZ67:GC67"/>
    <mergeCell ref="GE67:GH67"/>
    <mergeCell ref="DG66:DI66"/>
    <mergeCell ref="DK66:DN66"/>
    <mergeCell ref="DQ66:DS66"/>
    <mergeCell ref="DV66:DY66"/>
    <mergeCell ref="EA66:EB66"/>
    <mergeCell ref="FK66:FN66"/>
    <mergeCell ref="FC67:FE67"/>
    <mergeCell ref="FK67:FN67"/>
    <mergeCell ref="CH65:CJ65"/>
    <mergeCell ref="CM65:CO65"/>
    <mergeCell ref="CR65:CU65"/>
    <mergeCell ref="DG65:DI65"/>
    <mergeCell ref="DK65:DN65"/>
    <mergeCell ref="DQ65:DS65"/>
    <mergeCell ref="EU65:EW65"/>
    <mergeCell ref="EY65:FA65"/>
    <mergeCell ref="FC65:FE65"/>
    <mergeCell ref="DG64:DI64"/>
    <mergeCell ref="DK64:DN64"/>
    <mergeCell ref="DQ64:DS64"/>
    <mergeCell ref="DV64:DY64"/>
    <mergeCell ref="EA64:EB64"/>
    <mergeCell ref="ED64:EE64"/>
    <mergeCell ref="EG64:EI64"/>
    <mergeCell ref="FK62:FN62"/>
    <mergeCell ref="FP62:FS62"/>
    <mergeCell ref="FU62:FX62"/>
    <mergeCell ref="FZ62:GC62"/>
    <mergeCell ref="GE62:GH62"/>
    <mergeCell ref="DG63:DI63"/>
    <mergeCell ref="DK63:DN63"/>
    <mergeCell ref="DQ63:DS63"/>
    <mergeCell ref="DV63:DY63"/>
    <mergeCell ref="EA63:EB63"/>
    <mergeCell ref="EG62:EI62"/>
    <mergeCell ref="EM62:EO62"/>
    <mergeCell ref="EQ62:ES62"/>
    <mergeCell ref="EU62:EW62"/>
    <mergeCell ref="EY62:FA62"/>
    <mergeCell ref="FC62:FE62"/>
    <mergeCell ref="DG62:DI62"/>
    <mergeCell ref="DK62:DN62"/>
    <mergeCell ref="DQ62:DS62"/>
    <mergeCell ref="DV62:DY62"/>
    <mergeCell ref="EA62:EB62"/>
    <mergeCell ref="ED62:EE62"/>
    <mergeCell ref="FC63:FE63"/>
    <mergeCell ref="FG63:FI63"/>
    <mergeCell ref="FC61:FE61"/>
    <mergeCell ref="FG61:FI61"/>
    <mergeCell ref="CE62:CG62"/>
    <mergeCell ref="CJ62:CL62"/>
    <mergeCell ref="CO62:CP62"/>
    <mergeCell ref="CR62:CS62"/>
    <mergeCell ref="CU62:CW62"/>
    <mergeCell ref="DQ61:DS61"/>
    <mergeCell ref="DV61:DY61"/>
    <mergeCell ref="EA61:EB61"/>
    <mergeCell ref="ED61:EE61"/>
    <mergeCell ref="EG61:EI61"/>
    <mergeCell ref="EM61:EO61"/>
    <mergeCell ref="CI59:CL59"/>
    <mergeCell ref="CN59:CQ59"/>
    <mergeCell ref="CS59:CV59"/>
    <mergeCell ref="CX59:DA59"/>
    <mergeCell ref="DG61:DI61"/>
    <mergeCell ref="DK61:DN61"/>
    <mergeCell ref="EQ61:ES61"/>
    <mergeCell ref="EU61:EW61"/>
    <mergeCell ref="EY61:FA61"/>
    <mergeCell ref="FK44:FN44"/>
    <mergeCell ref="FP44:FS44"/>
    <mergeCell ref="FU44:FX44"/>
    <mergeCell ref="FZ44:GC44"/>
    <mergeCell ref="GE44:GH44"/>
    <mergeCell ref="CH45:CJ45"/>
    <mergeCell ref="CM45:CO45"/>
    <mergeCell ref="CR45:CU45"/>
    <mergeCell ref="DY45:EA45"/>
    <mergeCell ref="EG45:EI45"/>
    <mergeCell ref="EG44:EI44"/>
    <mergeCell ref="EM44:EO44"/>
    <mergeCell ref="EQ44:ES44"/>
    <mergeCell ref="EU44:EW44"/>
    <mergeCell ref="EY44:FA44"/>
    <mergeCell ref="FC44:FE44"/>
    <mergeCell ref="GE45:GH45"/>
    <mergeCell ref="EY45:FA45"/>
    <mergeCell ref="FC45:FE45"/>
    <mergeCell ref="FK45:FN45"/>
    <mergeCell ref="FP45:FS45"/>
    <mergeCell ref="FU45:FX45"/>
    <mergeCell ref="FZ45:GC45"/>
    <mergeCell ref="EU45:EW45"/>
    <mergeCell ref="FG43:FI43"/>
    <mergeCell ref="DG44:DI44"/>
    <mergeCell ref="DK44:DN44"/>
    <mergeCell ref="DQ44:DS44"/>
    <mergeCell ref="DV44:DY44"/>
    <mergeCell ref="EA44:EB44"/>
    <mergeCell ref="ED44:EE44"/>
    <mergeCell ref="DV43:DY43"/>
    <mergeCell ref="EA43:EB43"/>
    <mergeCell ref="ED43:EE43"/>
    <mergeCell ref="EG43:EI43"/>
    <mergeCell ref="EM43:EO43"/>
    <mergeCell ref="EQ43:ES43"/>
    <mergeCell ref="EU42:EW42"/>
    <mergeCell ref="EY42:FA42"/>
    <mergeCell ref="FC42:FE42"/>
    <mergeCell ref="CH43:CJ43"/>
    <mergeCell ref="CM43:CO43"/>
    <mergeCell ref="CR43:CU43"/>
    <mergeCell ref="DG43:DI43"/>
    <mergeCell ref="DK43:DN43"/>
    <mergeCell ref="DQ43:DS43"/>
    <mergeCell ref="EU43:EW43"/>
    <mergeCell ref="EY43:FA43"/>
    <mergeCell ref="FC43:FE43"/>
    <mergeCell ref="DG42:DI42"/>
    <mergeCell ref="DK42:DN42"/>
    <mergeCell ref="DQ42:DS42"/>
    <mergeCell ref="DV42:DY42"/>
    <mergeCell ref="EA42:EB42"/>
    <mergeCell ref="ED42:EE42"/>
    <mergeCell ref="EG42:EI42"/>
    <mergeCell ref="EM42:EO42"/>
    <mergeCell ref="FZ40:GC40"/>
    <mergeCell ref="GE40:GH40"/>
    <mergeCell ref="DG41:DI41"/>
    <mergeCell ref="DK41:DN41"/>
    <mergeCell ref="DQ41:DS41"/>
    <mergeCell ref="DV41:DY41"/>
    <mergeCell ref="EA41:EB41"/>
    <mergeCell ref="EG40:EI40"/>
    <mergeCell ref="EM40:EO40"/>
    <mergeCell ref="EQ40:ES40"/>
    <mergeCell ref="EU40:EW40"/>
    <mergeCell ref="EY40:FA40"/>
    <mergeCell ref="FC40:FE40"/>
    <mergeCell ref="DG40:DI40"/>
    <mergeCell ref="DK40:DN40"/>
    <mergeCell ref="DQ40:DS40"/>
    <mergeCell ref="DV40:DY40"/>
    <mergeCell ref="EA40:EB40"/>
    <mergeCell ref="EQ41:ES41"/>
    <mergeCell ref="EU41:EW41"/>
    <mergeCell ref="EY41:FA41"/>
    <mergeCell ref="FC41:FE41"/>
    <mergeCell ref="FG41:FI41"/>
    <mergeCell ref="ED41:EE41"/>
    <mergeCell ref="EU39:EW39"/>
    <mergeCell ref="ED39:EE39"/>
    <mergeCell ref="FP40:FS40"/>
    <mergeCell ref="FU40:FX40"/>
    <mergeCell ref="DV39:DY39"/>
    <mergeCell ref="DK39:DN39"/>
    <mergeCell ref="EA39:EB39"/>
    <mergeCell ref="FK40:FN40"/>
    <mergeCell ref="EY39:FA39"/>
    <mergeCell ref="FC39:FE39"/>
    <mergeCell ref="FG39:FI39"/>
    <mergeCell ref="EG39:EI39"/>
    <mergeCell ref="EM39:EO39"/>
    <mergeCell ref="ED40:EE40"/>
    <mergeCell ref="CB36:CB45"/>
    <mergeCell ref="DL37:DO37"/>
    <mergeCell ref="DP37:DS37"/>
    <mergeCell ref="CD37:CG37"/>
    <mergeCell ref="CI37:CL37"/>
    <mergeCell ref="CN37:CQ37"/>
    <mergeCell ref="CS37:CV37"/>
    <mergeCell ref="CX37:DA37"/>
    <mergeCell ref="DG39:DI39"/>
    <mergeCell ref="CE40:CG40"/>
    <mergeCell ref="CJ40:CL40"/>
    <mergeCell ref="CO40:CP40"/>
    <mergeCell ref="CR40:CS40"/>
    <mergeCell ref="CU40:CW40"/>
    <mergeCell ref="DQ39:DS39"/>
    <mergeCell ref="EU34:EW34"/>
    <mergeCell ref="CB25:CB34"/>
    <mergeCell ref="CD26:CG26"/>
    <mergeCell ref="CI26:CL26"/>
    <mergeCell ref="CN26:CQ26"/>
    <mergeCell ref="CS26:CV26"/>
    <mergeCell ref="CX26:DA26"/>
    <mergeCell ref="EU32:EW32"/>
    <mergeCell ref="CH32:CJ32"/>
    <mergeCell ref="CM32:CO32"/>
    <mergeCell ref="CR32:CU32"/>
    <mergeCell ref="EG31:EI31"/>
    <mergeCell ref="EM31:EO31"/>
    <mergeCell ref="EQ31:ES31"/>
    <mergeCell ref="EU31:EW31"/>
    <mergeCell ref="DL26:DO26"/>
    <mergeCell ref="DP26:DS26"/>
    <mergeCell ref="EQ34:ES34"/>
    <mergeCell ref="DM25:DO25"/>
    <mergeCell ref="EQ29:ES29"/>
    <mergeCell ref="EU29:EW29"/>
    <mergeCell ref="DQ28:DS28"/>
    <mergeCell ref="ED28:EE28"/>
    <mergeCell ref="FK33:FN33"/>
    <mergeCell ref="FP33:FS33"/>
    <mergeCell ref="FU33:FX33"/>
    <mergeCell ref="FZ33:GC33"/>
    <mergeCell ref="GE33:GH33"/>
    <mergeCell ref="CH34:CJ34"/>
    <mergeCell ref="CM34:CO34"/>
    <mergeCell ref="CR34:CU34"/>
    <mergeCell ref="DY34:EA34"/>
    <mergeCell ref="EG34:EI34"/>
    <mergeCell ref="EG33:EI33"/>
    <mergeCell ref="EM33:EO33"/>
    <mergeCell ref="EQ33:ES33"/>
    <mergeCell ref="EU33:EW33"/>
    <mergeCell ref="EY33:FA33"/>
    <mergeCell ref="FC33:FE33"/>
    <mergeCell ref="GE34:GH34"/>
    <mergeCell ref="EY34:FA34"/>
    <mergeCell ref="FC34:FE34"/>
    <mergeCell ref="FK34:FN34"/>
    <mergeCell ref="FP34:FS34"/>
    <mergeCell ref="FU34:FX34"/>
    <mergeCell ref="FZ34:GC34"/>
    <mergeCell ref="EM34:EO34"/>
    <mergeCell ref="EY32:FA32"/>
    <mergeCell ref="FC32:FE32"/>
    <mergeCell ref="FG32:FI32"/>
    <mergeCell ref="DG33:DI33"/>
    <mergeCell ref="DK33:DN33"/>
    <mergeCell ref="DQ33:DS33"/>
    <mergeCell ref="DV33:DY33"/>
    <mergeCell ref="EA33:EB33"/>
    <mergeCell ref="ED33:EE33"/>
    <mergeCell ref="DV32:DY32"/>
    <mergeCell ref="EA32:EB32"/>
    <mergeCell ref="ED32:EE32"/>
    <mergeCell ref="EG32:EI32"/>
    <mergeCell ref="EM32:EO32"/>
    <mergeCell ref="EQ32:ES32"/>
    <mergeCell ref="DG32:DI32"/>
    <mergeCell ref="DK32:DN32"/>
    <mergeCell ref="DQ32:DS32"/>
    <mergeCell ref="EY31:FA31"/>
    <mergeCell ref="FC31:FE31"/>
    <mergeCell ref="EU30:EW30"/>
    <mergeCell ref="EY30:FA30"/>
    <mergeCell ref="FC30:FE30"/>
    <mergeCell ref="FG30:FI30"/>
    <mergeCell ref="DG31:DI31"/>
    <mergeCell ref="DK31:DN31"/>
    <mergeCell ref="DQ31:DS31"/>
    <mergeCell ref="DV31:DY31"/>
    <mergeCell ref="EA31:EB31"/>
    <mergeCell ref="ED31:EE31"/>
    <mergeCell ref="GE29:GH29"/>
    <mergeCell ref="DG30:DI30"/>
    <mergeCell ref="DK30:DN30"/>
    <mergeCell ref="DQ30:DS30"/>
    <mergeCell ref="DV30:DY30"/>
    <mergeCell ref="EA30:EB30"/>
    <mergeCell ref="ED30:EE30"/>
    <mergeCell ref="EG30:EI30"/>
    <mergeCell ref="EM30:EO30"/>
    <mergeCell ref="EQ30:ES30"/>
    <mergeCell ref="EY29:FA29"/>
    <mergeCell ref="FC29:FE29"/>
    <mergeCell ref="FK29:FN29"/>
    <mergeCell ref="FP29:FS29"/>
    <mergeCell ref="FU29:FX29"/>
    <mergeCell ref="FZ29:GC29"/>
    <mergeCell ref="EA29:EB29"/>
    <mergeCell ref="ED29:EE29"/>
    <mergeCell ref="EG29:EI29"/>
    <mergeCell ref="EM29:EO29"/>
    <mergeCell ref="DR17:DT17"/>
    <mergeCell ref="CQ23:CT23"/>
    <mergeCell ref="CY23:DB23"/>
    <mergeCell ref="CB22:CD22"/>
    <mergeCell ref="FG28:FI28"/>
    <mergeCell ref="CE29:CG29"/>
    <mergeCell ref="CJ29:CL29"/>
    <mergeCell ref="CO29:CP29"/>
    <mergeCell ref="CR29:CS29"/>
    <mergeCell ref="CU29:CW29"/>
    <mergeCell ref="DG29:DI29"/>
    <mergeCell ref="DK29:DN29"/>
    <mergeCell ref="DQ29:DS29"/>
    <mergeCell ref="DV29:DY29"/>
    <mergeCell ref="EG28:EI28"/>
    <mergeCell ref="EM28:EO28"/>
    <mergeCell ref="EQ28:ES28"/>
    <mergeCell ref="EU28:EW28"/>
    <mergeCell ref="EY28:FA28"/>
    <mergeCell ref="FC28:FE28"/>
    <mergeCell ref="DG28:DI28"/>
    <mergeCell ref="DK28:DN28"/>
    <mergeCell ref="DV28:DY28"/>
    <mergeCell ref="EA28:EB28"/>
    <mergeCell ref="DF18:DH18"/>
    <mergeCell ref="DI18:DK18"/>
    <mergeCell ref="DL18:DN18"/>
    <mergeCell ref="DO18:DQ18"/>
    <mergeCell ref="CB17:DB18"/>
    <mergeCell ref="DM23:DO23"/>
    <mergeCell ref="DI17:DK17"/>
    <mergeCell ref="DL17:DN17"/>
    <mergeCell ref="DO17:DQ17"/>
    <mergeCell ref="DF24:DG24"/>
    <mergeCell ref="EQ7:ET7"/>
    <mergeCell ref="EQ8:ET8"/>
    <mergeCell ref="EL9:EO9"/>
    <mergeCell ref="DH23:DK23"/>
    <mergeCell ref="DH24:DK24"/>
    <mergeCell ref="DH22:DK22"/>
    <mergeCell ref="EQ9:ET9"/>
    <mergeCell ref="EL8:EO8"/>
    <mergeCell ref="DF22:DG22"/>
    <mergeCell ref="DF14:DH14"/>
    <mergeCell ref="DI14:DK14"/>
    <mergeCell ref="DL14:DN14"/>
    <mergeCell ref="DO14:DQ14"/>
    <mergeCell ref="DO15:DQ15"/>
    <mergeCell ref="DR15:DT15"/>
    <mergeCell ref="DU15:DW15"/>
    <mergeCell ref="DL15:DN15"/>
    <mergeCell ref="DI15:DK15"/>
    <mergeCell ref="DF23:DG23"/>
    <mergeCell ref="DF16:DH16"/>
    <mergeCell ref="DI16:DK16"/>
    <mergeCell ref="DR18:DT18"/>
    <mergeCell ref="DF17:DH17"/>
    <mergeCell ref="AZ25:BB26"/>
    <mergeCell ref="AR15:AT15"/>
    <mergeCell ref="BP19:BS19"/>
    <mergeCell ref="BU17:BX17"/>
    <mergeCell ref="BK17:BN17"/>
    <mergeCell ref="BU15:BX15"/>
    <mergeCell ref="BP15:BS15"/>
    <mergeCell ref="CX16:CY16"/>
    <mergeCell ref="CZ16:DB16"/>
    <mergeCell ref="CF16:CG16"/>
    <mergeCell ref="CH16:CI16"/>
    <mergeCell ref="CJ16:CK16"/>
    <mergeCell ref="CL16:CM16"/>
    <mergeCell ref="CN16:CO16"/>
    <mergeCell ref="CP16:CQ16"/>
    <mergeCell ref="CR16:CS16"/>
    <mergeCell ref="BF16:BI16"/>
    <mergeCell ref="BF17:BI17"/>
    <mergeCell ref="CE22:CF22"/>
    <mergeCell ref="CJ22:CM22"/>
    <mergeCell ref="CQ22:CT22"/>
    <mergeCell ref="CY22:DB22"/>
    <mergeCell ref="CJ23:CM23"/>
    <mergeCell ref="CG6:CK6"/>
    <mergeCell ref="CP7:CS7"/>
    <mergeCell ref="CT7:CW7"/>
    <mergeCell ref="CX11:CY11"/>
    <mergeCell ref="CQ21:CT21"/>
    <mergeCell ref="CU21:CX21"/>
    <mergeCell ref="CY21:DB21"/>
    <mergeCell ref="CZ15:DB15"/>
    <mergeCell ref="CT16:CU16"/>
    <mergeCell ref="CJ14:CK14"/>
    <mergeCell ref="CL14:CM14"/>
    <mergeCell ref="CN14:CO14"/>
    <mergeCell ref="CP14:CQ14"/>
    <mergeCell ref="CR14:CS14"/>
    <mergeCell ref="CN11:CO11"/>
    <mergeCell ref="CN15:CO15"/>
    <mergeCell ref="CP15:CQ15"/>
    <mergeCell ref="CJ15:CK15"/>
    <mergeCell ref="CL15:CM15"/>
    <mergeCell ref="CR15:CS15"/>
    <mergeCell ref="CT15:CU15"/>
    <mergeCell ref="CH15:CI15"/>
    <mergeCell ref="CV16:CW16"/>
    <mergeCell ref="CJ21:CM21"/>
    <mergeCell ref="AR28:BP29"/>
    <mergeCell ref="BA18:BD18"/>
    <mergeCell ref="AU17:AY17"/>
    <mergeCell ref="AU18:AY18"/>
    <mergeCell ref="BU16:BX16"/>
    <mergeCell ref="AR19:AT20"/>
    <mergeCell ref="BU18:BX18"/>
    <mergeCell ref="BA16:BD16"/>
    <mergeCell ref="CB6:CF6"/>
    <mergeCell ref="AZ27:BA27"/>
    <mergeCell ref="AR21:AY22"/>
    <mergeCell ref="CB21:CD21"/>
    <mergeCell ref="CE21:CF21"/>
    <mergeCell ref="BK15:BN15"/>
    <mergeCell ref="BA21:BD22"/>
    <mergeCell ref="BF21:BI22"/>
    <mergeCell ref="BK21:BN22"/>
    <mergeCell ref="BP21:BS22"/>
    <mergeCell ref="BU21:BX22"/>
    <mergeCell ref="AX23:AY24"/>
    <mergeCell ref="AX25:AY26"/>
    <mergeCell ref="AS25:AW26"/>
    <mergeCell ref="AS23:AW24"/>
    <mergeCell ref="AZ23:BB24"/>
    <mergeCell ref="AR11:AT11"/>
    <mergeCell ref="AU11:AY11"/>
    <mergeCell ref="BF14:BI14"/>
    <mergeCell ref="BF15:BI15"/>
    <mergeCell ref="AU14:AY14"/>
    <mergeCell ref="AU15:AY15"/>
    <mergeCell ref="BA15:BD15"/>
    <mergeCell ref="BA14:BD14"/>
    <mergeCell ref="AR32:BP33"/>
    <mergeCell ref="AU19:AY19"/>
    <mergeCell ref="BA19:BD19"/>
    <mergeCell ref="BF19:BI19"/>
    <mergeCell ref="AR17:AT17"/>
    <mergeCell ref="BK19:BN19"/>
    <mergeCell ref="AR16:AT16"/>
    <mergeCell ref="BA17:BD17"/>
    <mergeCell ref="BF18:BI18"/>
    <mergeCell ref="BK18:BN18"/>
    <mergeCell ref="AU16:AY16"/>
    <mergeCell ref="AR18:AT18"/>
    <mergeCell ref="BK24:BN24"/>
    <mergeCell ref="BP24:BS24"/>
    <mergeCell ref="BS29:BW32"/>
    <mergeCell ref="AR30:BP31"/>
    <mergeCell ref="CB4:CF4"/>
    <mergeCell ref="AQ2:BX2"/>
    <mergeCell ref="AR14:AT14"/>
    <mergeCell ref="BO3:BS5"/>
    <mergeCell ref="AV3:BA4"/>
    <mergeCell ref="BB3:BC4"/>
    <mergeCell ref="BU10:BX10"/>
    <mergeCell ref="BU11:BX11"/>
    <mergeCell ref="AV5:BA6"/>
    <mergeCell ref="BB5:BC6"/>
    <mergeCell ref="AR3:AU6"/>
    <mergeCell ref="BK12:BN12"/>
    <mergeCell ref="BP12:BS12"/>
    <mergeCell ref="BU14:BX14"/>
    <mergeCell ref="BF11:BI11"/>
    <mergeCell ref="BA11:BD11"/>
    <mergeCell ref="BA12:BD12"/>
    <mergeCell ref="BF12:BI12"/>
    <mergeCell ref="BA10:BD10"/>
    <mergeCell ref="BP14:BS14"/>
    <mergeCell ref="BF10:BI10"/>
    <mergeCell ref="AU10:AY10"/>
    <mergeCell ref="AU12:AY12"/>
    <mergeCell ref="AR12:AT12"/>
    <mergeCell ref="DT3:DW3"/>
    <mergeCell ref="DT4:DW4"/>
    <mergeCell ref="DT8:DW8"/>
    <mergeCell ref="DT9:DW9"/>
    <mergeCell ref="BK14:BN14"/>
    <mergeCell ref="CG4:CK5"/>
    <mergeCell ref="BU19:BX19"/>
    <mergeCell ref="BP11:BS11"/>
    <mergeCell ref="DT6:DW6"/>
    <mergeCell ref="BP17:BS17"/>
    <mergeCell ref="BP16:BS16"/>
    <mergeCell ref="BP18:BS18"/>
    <mergeCell ref="CV12:CW12"/>
    <mergeCell ref="CF11:CG11"/>
    <mergeCell ref="CH11:CI11"/>
    <mergeCell ref="CJ11:CK11"/>
    <mergeCell ref="CL11:CM11"/>
    <mergeCell ref="CF15:CG15"/>
    <mergeCell ref="CF14:CG14"/>
    <mergeCell ref="CH14:CI14"/>
    <mergeCell ref="CT14:CU14"/>
    <mergeCell ref="CV14:CW14"/>
    <mergeCell ref="CO4:CU5"/>
    <mergeCell ref="CV4:CZ5"/>
    <mergeCell ref="CN12:CO12"/>
    <mergeCell ref="CD11:CE11"/>
    <mergeCell ref="CT11:CU11"/>
    <mergeCell ref="CV11:CW11"/>
    <mergeCell ref="CX12:CY12"/>
    <mergeCell ref="CB7:CO7"/>
    <mergeCell ref="CJ12:CK12"/>
    <mergeCell ref="CL12:CM12"/>
    <mergeCell ref="CB11:CC11"/>
    <mergeCell ref="CP12:CQ12"/>
    <mergeCell ref="CR12:CS12"/>
    <mergeCell ref="CT12:CU12"/>
    <mergeCell ref="CD12:CE12"/>
    <mergeCell ref="CF12:CG12"/>
    <mergeCell ref="CH12:CI12"/>
    <mergeCell ref="CP11:CQ11"/>
    <mergeCell ref="CY9:DB9"/>
    <mergeCell ref="CZ11:DB11"/>
    <mergeCell ref="CB12:CC12"/>
    <mergeCell ref="DT7:DW7"/>
    <mergeCell ref="DF3:DK3"/>
    <mergeCell ref="DF4:DK4"/>
    <mergeCell ref="DM3:DR3"/>
    <mergeCell ref="DM4:DR4"/>
    <mergeCell ref="BU12:BX12"/>
    <mergeCell ref="BK10:BN10"/>
    <mergeCell ref="DM5:DR5"/>
    <mergeCell ref="DP22:DS22"/>
    <mergeCell ref="DM22:DO22"/>
    <mergeCell ref="BK16:BN16"/>
    <mergeCell ref="CV15:CW15"/>
    <mergeCell ref="CX15:CY15"/>
    <mergeCell ref="DF15:DH15"/>
    <mergeCell ref="CB5:CF5"/>
    <mergeCell ref="CG9:CH9"/>
    <mergeCell ref="CL9:CO9"/>
    <mergeCell ref="CT9:CU9"/>
    <mergeCell ref="CX14:CY14"/>
    <mergeCell ref="CZ14:DB14"/>
    <mergeCell ref="BP10:BS10"/>
    <mergeCell ref="BK11:BN11"/>
    <mergeCell ref="CR11:CS11"/>
    <mergeCell ref="CZ12:DB12"/>
    <mergeCell ref="DP23:DS23"/>
    <mergeCell ref="DP24:DS24"/>
    <mergeCell ref="DM24:DO24"/>
    <mergeCell ref="FA5:FD5"/>
    <mergeCell ref="FA6:FD6"/>
    <mergeCell ref="FA7:FD7"/>
    <mergeCell ref="FA8:FD8"/>
    <mergeCell ref="FA9:FD9"/>
    <mergeCell ref="EV6:EY6"/>
    <mergeCell ref="EV7:EY7"/>
    <mergeCell ref="EV8:EY8"/>
    <mergeCell ref="EV9:EY9"/>
    <mergeCell ref="EV5:EY5"/>
    <mergeCell ref="DR14:DT14"/>
    <mergeCell ref="DU14:DW14"/>
    <mergeCell ref="DL16:DN16"/>
    <mergeCell ref="DO16:DQ16"/>
    <mergeCell ref="DR16:DT16"/>
    <mergeCell ref="DU16:DW16"/>
    <mergeCell ref="DU18:DW18"/>
    <mergeCell ref="DM6:DR6"/>
    <mergeCell ref="DK12:DM12"/>
    <mergeCell ref="DR10:DV10"/>
    <mergeCell ref="DM10:DQ10"/>
    <mergeCell ref="DT5:DW5"/>
    <mergeCell ref="CQ74:CR74"/>
    <mergeCell ref="EV13:EY13"/>
    <mergeCell ref="FA3:FD3"/>
    <mergeCell ref="FA4:FD4"/>
    <mergeCell ref="DY4:EA4"/>
    <mergeCell ref="EQ4:ET4"/>
    <mergeCell ref="EQ5:ET5"/>
    <mergeCell ref="EQ3:ET3"/>
    <mergeCell ref="EV11:EY11"/>
    <mergeCell ref="EV3:EY3"/>
    <mergeCell ref="EV4:EY4"/>
    <mergeCell ref="EL3:EO3"/>
    <mergeCell ref="EL4:EO4"/>
    <mergeCell ref="DY8:EA8"/>
    <mergeCell ref="EQ6:ET6"/>
    <mergeCell ref="DY3:EA3"/>
    <mergeCell ref="EL7:EO7"/>
    <mergeCell ref="EL5:EO5"/>
    <mergeCell ref="EL6:EO6"/>
    <mergeCell ref="DY5:EA5"/>
    <mergeCell ref="DY6:EA6"/>
    <mergeCell ref="DY7:EA7"/>
    <mergeCell ref="EV15:EY15"/>
  </mergeCells>
  <phoneticPr fontId="2"/>
  <conditionalFormatting sqref="CB6:CK6">
    <cfRule type="cellIs" dxfId="8" priority="9" operator="notEqual">
      <formula>""</formula>
    </cfRule>
  </conditionalFormatting>
  <conditionalFormatting sqref="CL6:CM6">
    <cfRule type="expression" dxfId="7" priority="8">
      <formula>$CG$9&lt;&gt;4</formula>
    </cfRule>
  </conditionalFormatting>
  <conditionalFormatting sqref="CY22:DB22">
    <cfRule type="cellIs" dxfId="6" priority="1" operator="equal">
      <formula>0</formula>
    </cfRule>
    <cfRule type="cellIs" dxfId="5" priority="7" operator="notEqual">
      <formula>""</formula>
    </cfRule>
  </conditionalFormatting>
  <conditionalFormatting sqref="CY23:DB23">
    <cfRule type="cellIs" dxfId="4" priority="6" operator="notEqual">
      <formula>""</formula>
    </cfRule>
  </conditionalFormatting>
  <conditionalFormatting sqref="BU14:BX17 AU14:AY17 BA14:BD17 BF14:BI17 BK14:BN17 BP14:BS17">
    <cfRule type="cellIs" dxfId="3" priority="5" operator="greaterThan">
      <formula>0</formula>
    </cfRule>
  </conditionalFormatting>
  <conditionalFormatting sqref="BA11:BD11 BF11:BI11 BK11:BN11 BP11:BS11">
    <cfRule type="cellIs" dxfId="2" priority="4" operator="equal">
      <formula>"非加入者"</formula>
    </cfRule>
  </conditionalFormatting>
  <conditionalFormatting sqref="AU11:AY11">
    <cfRule type="cellIs" dxfId="1" priority="3" operator="equal">
      <formula>"擬制世帯主"</formula>
    </cfRule>
  </conditionalFormatting>
  <conditionalFormatting sqref="BP24:BS24">
    <cfRule type="cellIs" dxfId="0" priority="2" operator="notEqual">
      <formula>0</formula>
    </cfRule>
  </conditionalFormatting>
  <dataValidations count="8">
    <dataValidation type="list" allowBlank="1" showInputMessage="1" showErrorMessage="1" sqref="BH24" xr:uid="{5F5D1488-EA4A-4913-ADF5-BD813E39240B}">
      <formula1>$AU$10:$BX$10</formula1>
    </dataValidation>
    <dataValidation imeMode="off" allowBlank="1" showInputMessage="1" showErrorMessage="1" sqref="BF14:BI17 AX23 AX25 AU14:AY17 BA14:BD17 BU14:BX17 BK14:BN17 BP14:BS17 B8:C8 F8:M8 P8:W8 E41:H44 B18:M18 O18:T18 B22:M22 O26:T26 AJ8:AO8 N34:P35 N37:P38 E38:H38 Z8:AG8 B26:M26 O30:T30 B30:M30" xr:uid="{00000000-0002-0000-0100-000004000000}"/>
    <dataValidation type="list" allowBlank="1" showInputMessage="1" showErrorMessage="1" sqref="AU11:AY11" xr:uid="{00000000-0002-0000-0100-000000000000}">
      <formula1>$DF$3:$DF$6</formula1>
    </dataValidation>
    <dataValidation type="list" allowBlank="1" showInputMessage="1" showErrorMessage="1" sqref="BF11:BI11 BA11:BD11 BU11:BX11 BP11:BS11 BK11:BN11" xr:uid="{00000000-0002-0000-0100-000002000000}">
      <formula1>$DM$3:$DM$6</formula1>
    </dataValidation>
    <dataValidation type="list" allowBlank="1" showInputMessage="1" showErrorMessage="1" sqref="BK24:BN24" xr:uid="{84F9A448-2FF9-4EF2-BD46-AFCC29BF17F7}">
      <formula1>$DY$3:$DY$8</formula1>
    </dataValidation>
    <dataValidation type="list" allowBlank="1" showInputMessage="1" showErrorMessage="1" sqref="BO3:BS5" xr:uid="{F1B4AEB6-4965-4C58-8BD1-4B6763C2EAB2}">
      <formula1>$DM$22:$DM$25</formula1>
    </dataValidation>
    <dataValidation type="list" allowBlank="1" showInputMessage="1" showErrorMessage="1" sqref="AU12:AY12" xr:uid="{00000000-0002-0000-0100-000003000000}">
      <formula1>$DT$6:$DT$8</formula1>
    </dataValidation>
    <dataValidation type="list" allowBlank="1" showInputMessage="1" showErrorMessage="1" sqref="BA12:BD12 BU12:BX12 BP12:BS12 BK12:BN12 BF12:BI12" xr:uid="{F6F62060-5B88-4020-853F-06866A878BC2}">
      <formula1>$DT$4:$DT$5</formula1>
    </dataValidation>
  </dataValidations>
  <printOptions horizontalCentered="1"/>
  <pageMargins left="0.70866141732283472" right="0.59055118110236227" top="0.78740157480314965" bottom="0.19685039370078741"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33" r:id="rId4" name="Check Box 141">
              <controlPr defaultSize="0" autoFill="0" autoLine="0" autoPict="0">
                <anchor moveWithCells="1">
                  <from>
                    <xdr:col>82</xdr:col>
                    <xdr:colOff>60960</xdr:colOff>
                    <xdr:row>72</xdr:row>
                    <xdr:rowOff>190500</xdr:rowOff>
                  </from>
                  <to>
                    <xdr:col>196</xdr:col>
                    <xdr:colOff>106680</xdr:colOff>
                    <xdr:row>74</xdr:row>
                    <xdr:rowOff>76200</xdr:rowOff>
                  </to>
                </anchor>
              </controlPr>
            </control>
          </mc:Choice>
        </mc:AlternateContent>
        <mc:AlternateContent xmlns:mc="http://schemas.openxmlformats.org/markup-compatibility/2006">
          <mc:Choice Requires="x14">
            <control shapeId="33934" r:id="rId5" name="Check Box 142">
              <controlPr defaultSize="0" autoFill="0" autoLine="0" autoPict="0">
                <anchor moveWithCells="1">
                  <from>
                    <xdr:col>98</xdr:col>
                    <xdr:colOff>60960</xdr:colOff>
                    <xdr:row>72</xdr:row>
                    <xdr:rowOff>190500</xdr:rowOff>
                  </from>
                  <to>
                    <xdr:col>196</xdr:col>
                    <xdr:colOff>106680</xdr:colOff>
                    <xdr:row>74</xdr:row>
                    <xdr:rowOff>76200</xdr:rowOff>
                  </to>
                </anchor>
              </controlPr>
            </control>
          </mc:Choice>
        </mc:AlternateContent>
        <mc:AlternateContent xmlns:mc="http://schemas.openxmlformats.org/markup-compatibility/2006">
          <mc:Choice Requires="x14">
            <control shapeId="33935" r:id="rId6" name="Check Box 143">
              <controlPr defaultSize="0" autoFill="0" autoLine="0" autoPict="0">
                <anchor moveWithCells="1">
                  <from>
                    <xdr:col>90</xdr:col>
                    <xdr:colOff>45720</xdr:colOff>
                    <xdr:row>72</xdr:row>
                    <xdr:rowOff>190500</xdr:rowOff>
                  </from>
                  <to>
                    <xdr:col>196</xdr:col>
                    <xdr:colOff>114300</xdr:colOff>
                    <xdr:row>74</xdr:row>
                    <xdr:rowOff>76200</xdr:rowOff>
                  </to>
                </anchor>
              </controlPr>
            </control>
          </mc:Choice>
        </mc:AlternateContent>
        <mc:AlternateContent xmlns:mc="http://schemas.openxmlformats.org/markup-compatibility/2006">
          <mc:Choice Requires="x14">
            <control shapeId="33936" r:id="rId7" name="Check Box 144">
              <controlPr defaultSize="0" autoFill="0" autoLine="0" autoPict="0">
                <anchor moveWithCells="1">
                  <from>
                    <xdr:col>86</xdr:col>
                    <xdr:colOff>38100</xdr:colOff>
                    <xdr:row>72</xdr:row>
                    <xdr:rowOff>190500</xdr:rowOff>
                  </from>
                  <to>
                    <xdr:col>196</xdr:col>
                    <xdr:colOff>114300</xdr:colOff>
                    <xdr:row>74</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試算シート</vt:lpstr>
      <vt:lpstr>料率</vt:lpstr>
      <vt:lpstr>料率!Print_Area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dc:creator>
  <cp:lastModifiedBy>Windows ユーザー</cp:lastModifiedBy>
  <cp:lastPrinted>2025-01-31T07:17:07Z</cp:lastPrinted>
  <dcterms:created xsi:type="dcterms:W3CDTF">2001-09-05T23:39:22Z</dcterms:created>
  <dcterms:modified xsi:type="dcterms:W3CDTF">2025-05-29T03:59:56Z</dcterms:modified>
</cp:coreProperties>
</file>